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35" windowWidth="12120" windowHeight="8820" tabRatio="733" activeTab="1"/>
  </bookViews>
  <sheets>
    <sheet name="คำอธิบาย" sheetId="1" r:id="rId1"/>
    <sheet name="Form7" sheetId="2" r:id="rId2"/>
    <sheet name="ส1_เฉพาะเกณฑ์_สกอ." sheetId="3" r:id="rId3"/>
    <sheet name="ส1_เฉพาะเกณฑ์_สมศ." sheetId="4" r:id="rId4"/>
    <sheet name="ส 1" sheetId="5" r:id="rId5"/>
    <sheet name="ส 2" sheetId="6" r:id="rId6"/>
    <sheet name="ส 3" sheetId="7" r:id="rId7"/>
    <sheet name="ส 4" sheetId="8" r:id="rId8"/>
    <sheet name="ส 5" sheetId="9" r:id="rId9"/>
  </sheets>
  <definedNames>
    <definedName name="_xlnm.Print_Area" localSheetId="1">'Form7'!$A$1:$T$79</definedName>
    <definedName name="_xlnm.Print_Area" localSheetId="4">'ส 1'!$A$1:$E$29</definedName>
    <definedName name="_xlnm.Print_Area" localSheetId="5">'ส 2'!$A$1:$G$15</definedName>
    <definedName name="_xlnm.Print_Area" localSheetId="6">'ส 3'!$A$1:$G$13</definedName>
    <definedName name="_xlnm.Print_Area" localSheetId="7">'ส 4'!$A$1:$G$12</definedName>
    <definedName name="_xlnm.Print_Area" localSheetId="8">'ส 5'!$A$1:$G$20</definedName>
    <definedName name="_xlnm.Print_Area" localSheetId="2">'ส1_เฉพาะเกณฑ์_สกอ.'!$B$1:$G$17</definedName>
    <definedName name="_xlnm.Print_Area" localSheetId="3">'ส1_เฉพาะเกณฑ์_สมศ.'!$A$1:$F$21</definedName>
    <definedName name="_xlnm.Print_Titles" localSheetId="1">'Form7'!$3:$5</definedName>
    <definedName name="_xlnm.Print_Titles" localSheetId="4">'ส 1'!$4:$6</definedName>
  </definedNames>
  <calcPr fullCalcOnLoad="1"/>
</workbook>
</file>

<file path=xl/comments2.xml><?xml version="1.0" encoding="utf-8"?>
<comments xmlns="http://schemas.openxmlformats.org/spreadsheetml/2006/main">
  <authors>
    <author>Siripong Siriwan</author>
    <author>RENT53-05</author>
  </authors>
  <commentList>
    <comment ref="F12" authorId="0">
      <text>
        <r>
          <rPr>
            <b/>
            <sz val="9"/>
            <rFont val="Tahoma"/>
            <family val="2"/>
          </rPr>
          <t>Siripong Siriwan:</t>
        </r>
        <r>
          <rPr>
            <sz val="9"/>
            <rFont val="Tahoma"/>
            <family val="2"/>
          </rPr>
          <t xml:space="preserve">
ตรวจสอบการเลือก
กรณี ของหน่วยงาน</t>
        </r>
      </text>
    </comment>
    <comment ref="B47" authorId="1">
      <text>
        <r>
          <rPr>
            <b/>
            <sz val="9"/>
            <rFont val="Tahoma"/>
            <family val="2"/>
          </rPr>
          <t>RENT53-05:</t>
        </r>
        <r>
          <rPr>
            <sz val="9"/>
            <rFont val="Tahoma"/>
            <family val="2"/>
          </rPr>
          <t xml:space="preserve">
ปรับการรายงาน เป็น  "ปีงบประมาณ"</t>
        </r>
      </text>
    </comment>
    <comment ref="M7" authorId="1">
      <text>
        <r>
          <rPr>
            <sz val="9"/>
            <rFont val="Tahoma"/>
            <family val="2"/>
          </rPr>
          <t xml:space="preserve">เชื่อมโยงกับ 
7.1 ข้อ 2
8.1 ข้อ 5
</t>
        </r>
      </text>
    </comment>
    <comment ref="N7" authorId="1">
      <text>
        <r>
          <rPr>
            <sz val="9"/>
            <rFont val="Tahoma"/>
            <family val="2"/>
          </rPr>
          <t>เชื่อมโยงกับ 
9.1 ข้อ 5 ต้องผ่าน ข้อนี้จึงได้คะแนน</t>
        </r>
      </text>
    </comment>
  </commentList>
</comments>
</file>

<file path=xl/comments3.xml><?xml version="1.0" encoding="utf-8"?>
<comments xmlns="http://schemas.openxmlformats.org/spreadsheetml/2006/main">
  <authors>
    <author>Notebook</author>
  </authors>
  <commentList>
    <comment ref="G17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สูตรการคำนวณ
คะแนนเฉลี่ย = (ผลรวมของคะแนนการประเมิน / จำนวนตัวบ่งชี้ที่ประเมินจริง)</t>
        </r>
      </text>
    </comment>
  </commentList>
</comments>
</file>

<file path=xl/comments4.xml><?xml version="1.0" encoding="utf-8"?>
<comments xmlns="http://schemas.openxmlformats.org/spreadsheetml/2006/main">
  <authors>
    <author>Notebook</author>
  </authors>
  <commentList>
    <comment ref="F20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สูตรการคำนวณ
คะแนนเฉลี่ย = (ผลรวมของคะแนนการประเมิน / จำนวนตัวบ่งชี้ที่ประเมินจริง)</t>
        </r>
      </text>
    </comment>
  </commentList>
</comments>
</file>

<file path=xl/comments6.xml><?xml version="1.0" encoding="utf-8"?>
<comments xmlns="http://schemas.openxmlformats.org/spreadsheetml/2006/main">
  <authors>
    <author>Notebook</author>
  </authors>
  <commentList>
    <comment ref="C7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คะแนนตัวบ่งชี้ สกอ. ที่ 1.1</t>
        </r>
      </text>
    </comment>
    <comment ref="B8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2.2, 2.3 และ 2.5</t>
        </r>
      </text>
    </comment>
    <comment ref="C8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2.1, 2.4, 2.6 และ 2.7</t>
        </r>
      </text>
    </comment>
    <comment ref="D8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2.8 และ สมศ. ที่ 1, 2, 3, 4, และ 14</t>
        </r>
      </text>
    </comment>
    <comment ref="B9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คะแนนของตัวบ่งชี้ สกอ. ที่ 4.3</t>
        </r>
      </text>
    </comment>
    <comment ref="C9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4.1 และ 4.2</t>
        </r>
      </text>
    </comment>
    <comment ref="D9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สมศ. ที่ 5, 6 และ 7</t>
        </r>
      </text>
    </comment>
    <comment ref="C10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5.1 และ 5.2</t>
        </r>
      </text>
    </comment>
    <comment ref="D10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สมศ. ที่ 8, 9 และ 18</t>
        </r>
      </text>
    </comment>
    <comment ref="C11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7.1, 7.2, 7.3 และ 7.4</t>
        </r>
      </text>
    </comment>
    <comment ref="D11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สมศ. ที่ 12 และ 13</t>
        </r>
      </text>
    </comment>
    <comment ref="C12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คะแนนของตัวบ่งชี้ สกอ. ที่ 9.1</t>
        </r>
      </text>
    </comment>
    <comment ref="D12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คะแนนของตัวบ่งชี้ สมศ. ที่ 15</t>
        </r>
      </text>
    </comment>
  </commentList>
</comments>
</file>

<file path=xl/comments7.xml><?xml version="1.0" encoding="utf-8"?>
<comments xmlns="http://schemas.openxmlformats.org/spreadsheetml/2006/main">
  <authors>
    <author>Notebook</author>
  </authors>
  <commentList>
    <comment ref="D7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2.8 และ สมศ. ที่ 1, 2, 3 และ 4</t>
        </r>
      </text>
    </comment>
    <comment ref="C9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1.1, 2.4, 7.1, 7.3, 7.4, 8.1 และ 9.1</t>
        </r>
      </text>
    </comment>
    <comment ref="D9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สมศ. ที่ 12 และ 13</t>
        </r>
      </text>
    </comment>
    <comment ref="B10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2.2, 2.3, 2.5 และ 4.3</t>
        </r>
      </text>
    </comment>
    <comment ref="C10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2.1, 2.6, 2.7, 3.1, 3.2, 4.1, 5.1, 5.2,  และ 6.1</t>
        </r>
      </text>
    </comment>
    <comment ref="D10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สมศ. ที่ 8, 9, 10, 11, 14, 15, 16, 17 และ 18</t>
        </r>
      </text>
    </comment>
    <comment ref="C11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4.2 และ 7.2</t>
        </r>
      </text>
    </comment>
    <comment ref="D11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สมศ. ที่ 5, 6 และ 7</t>
        </r>
      </text>
    </comment>
  </commentList>
</comments>
</file>

<file path=xl/comments8.xml><?xml version="1.0" encoding="utf-8"?>
<comments xmlns="http://schemas.openxmlformats.org/spreadsheetml/2006/main">
  <authors>
    <author>Notebook</author>
  </authors>
  <commentList>
    <comment ref="C7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2.6, 2.7, 3.1, 3.2, 5.1 และ 5.2</t>
        </r>
      </text>
    </comment>
    <comment ref="D7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2.8 และ สมศ. ที่ 1, 2, 3, 4, 8, 9 และ 18</t>
        </r>
      </text>
    </comment>
    <comment ref="B8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2.5</t>
        </r>
      </text>
    </comment>
    <comment ref="C8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1.1, 2.1, 2.4, 4.1, 6.1, 7.1, 7.3, 7.4 และ 9.1</t>
        </r>
      </text>
    </comment>
    <comment ref="D8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สมศ. ที่ 10, 11, 12, 13, 15, 16 และ 17</t>
        </r>
      </text>
    </comment>
    <comment ref="B9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4.3</t>
        </r>
      </text>
    </comment>
    <comment ref="C9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8.1</t>
        </r>
      </text>
    </comment>
    <comment ref="B10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2.2 และ 2.3</t>
        </r>
      </text>
    </comment>
    <comment ref="C10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4.2 และ 7.2</t>
        </r>
      </text>
    </comment>
    <comment ref="D10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สมศ. ที่ 5, 6, 7 และ 14</t>
        </r>
      </text>
    </comment>
  </commentList>
</comments>
</file>

<file path=xl/comments9.xml><?xml version="1.0" encoding="utf-8"?>
<comments xmlns="http://schemas.openxmlformats.org/spreadsheetml/2006/main">
  <authors>
    <author>Notebook</author>
  </authors>
  <commentList>
    <comment ref="B8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2.5</t>
        </r>
      </text>
    </comment>
    <comment ref="B9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2.2 และ 2.3</t>
        </r>
      </text>
    </comment>
    <comment ref="C9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2.1, 2.4 และ 2.6</t>
        </r>
      </text>
    </comment>
    <comment ref="D9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สมศ. ที่ 14</t>
        </r>
      </text>
    </comment>
    <comment ref="C11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1.1, 7.1, 7.2, 7.3, 7.4 และ 9.1</t>
        </r>
      </text>
    </comment>
    <comment ref="D11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สมศ. ที่ 12, 13, 15, 16  และ 17</t>
        </r>
      </text>
    </comment>
    <comment ref="C14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2.7, 3.1 และ 3.2</t>
        </r>
      </text>
    </comment>
    <comment ref="D14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2.8 และ สมศ. ที่ 1, 2, 3, และ 4</t>
        </r>
      </text>
    </comment>
    <comment ref="B15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4.3</t>
        </r>
      </text>
    </comment>
    <comment ref="C15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4.1 และ 4.2</t>
        </r>
      </text>
    </comment>
    <comment ref="D15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สมศ. ที่ 5, 6 และ 7</t>
        </r>
      </text>
    </comment>
    <comment ref="C16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5.1 และ 5.2</t>
        </r>
      </text>
    </comment>
    <comment ref="D16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สมศ. ที่ 8, 9 และ 18</t>
        </r>
      </text>
    </comment>
    <comment ref="C17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ค่าเฉลี่ยของคะแนนตัวบ่งชี้ สกอ. ที่ 6.1</t>
        </r>
      </text>
    </comment>
    <comment ref="D17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คะแนนของตัวบ่งชี้ สมศ. ที่10, 11
</t>
        </r>
      </text>
    </comment>
  </commentList>
</comments>
</file>

<file path=xl/sharedStrings.xml><?xml version="1.0" encoding="utf-8"?>
<sst xmlns="http://schemas.openxmlformats.org/spreadsheetml/2006/main" count="296" uniqueCount="202">
  <si>
    <t>ตาราง ส 1. ผลการการประเมินรายตัวบ่งชี้ตามองค์ประกอบคุณภาพ</t>
  </si>
  <si>
    <t>ประเภทสถาบัน</t>
  </si>
  <si>
    <t>ตัวบ่งชี้คุณภาพ</t>
  </si>
  <si>
    <t>เป้าหมาย</t>
  </si>
  <si>
    <t>ผลการดำเนินงาน</t>
  </si>
  <si>
    <t>คะแนนการประเมิน
(ตามเกณฑ์ สกอ.)</t>
  </si>
  <si>
    <t>ตัวตั้ง</t>
  </si>
  <si>
    <t>ผลลัพธ์</t>
  </si>
  <si>
    <t>ตัวหาร</t>
  </si>
  <si>
    <t>ตัวบ่งชี้ที่ 1.1</t>
  </si>
  <si>
    <t>ตัวบ่งชี้ที่ 2.2</t>
  </si>
  <si>
    <t>ตัวบ่งชี้ที่ 2.3</t>
  </si>
  <si>
    <t>ตัวบ่งชี้ที่ 2.6</t>
  </si>
  <si>
    <t>ตัวบ่งชี้ที่ 4.3</t>
  </si>
  <si>
    <t>ตัวบ่งชี้ที่ 7.4</t>
  </si>
  <si>
    <t xml:space="preserve">    คะแนนเฉลี่ย</t>
  </si>
  <si>
    <t>ผลรวมของคะแนนการประเมิน</t>
  </si>
  <si>
    <t>จำนวนตัวบ่งชี้ที่ประเมินจริง</t>
  </si>
  <si>
    <t xml:space="preserve">   คะแนนเฉลี่ย</t>
  </si>
  <si>
    <t>คะแนนการประเมิน
(ตามเกณฑ์ สมศ.)</t>
  </si>
  <si>
    <t>ตัวบ่งชี้ สมศ. ที่ 3</t>
  </si>
  <si>
    <t>ตัวบ่งชี้ สมศ. ที่ 4</t>
  </si>
  <si>
    <t>ตัวบ่งชี้ สมศ. ที่ 5</t>
  </si>
  <si>
    <t>ตัวบ่งชี้ สมศ. ที่ 7</t>
  </si>
  <si>
    <t>ตัวบ่งชี้ สมศ. ที่ 8</t>
  </si>
  <si>
    <t>ตัวบ่งชี้ สมศ. ที่ 14</t>
  </si>
  <si>
    <t>ตัวบ่งชี้ สมศ. ที่ 15</t>
  </si>
  <si>
    <t>ตาราง ส 2. ผลการประเมินตนเองตามองค์ประกอบคุณภาพ</t>
  </si>
  <si>
    <t>องค์ประกอบ</t>
  </si>
  <si>
    <t>คะแนนการประเมินเฉลี่ย</t>
  </si>
  <si>
    <t>หมายเหตุ</t>
  </si>
  <si>
    <t>I</t>
  </si>
  <si>
    <t>P</t>
  </si>
  <si>
    <t>O</t>
  </si>
  <si>
    <t>รวม</t>
  </si>
  <si>
    <t>องค์ประกอบที่ 1</t>
  </si>
  <si>
    <t>องค์ประกอบที่ 2</t>
  </si>
  <si>
    <t>องค์ประกอบที่ 4</t>
  </si>
  <si>
    <t>องค์ประกอบที่ 5</t>
  </si>
  <si>
    <t>องค์ประกอบที่ 7</t>
  </si>
  <si>
    <t>องค์ประกอบที่ 9</t>
  </si>
  <si>
    <t>ผลการประเมิน</t>
  </si>
  <si>
    <t>ตาราง ส 3. ผลการประเมินตนเองตามมาตรฐานการอุดมศึกษา</t>
  </si>
  <si>
    <t>มาตรฐานอุดมศึกษา</t>
  </si>
  <si>
    <t>มาตรฐานที่ 1</t>
  </si>
  <si>
    <t>มาตรฐานที่ 2</t>
  </si>
  <si>
    <t>มาตรฐานที่ 2 ก</t>
  </si>
  <si>
    <t>มาตรฐานที่ 2 ข</t>
  </si>
  <si>
    <t>มาตรฐานที่ 3</t>
  </si>
  <si>
    <t>ตาราง ส 4. ผลการประเมินตนเองตามมุมมองด้านการบริหารจัดการ</t>
  </si>
  <si>
    <t>มุมมองด้านการบริหารจัดการ</t>
  </si>
  <si>
    <t>ด้านนักศึกษาและผู้มีส่วนได้ส่วนเสีย</t>
  </si>
  <si>
    <t>ด้านกระบวนการภายใน</t>
  </si>
  <si>
    <t>ด้านการเงิน</t>
  </si>
  <si>
    <t>เฉลี่ยรวมทุกตัวบ่งชี้ของทุกมุมมอง</t>
  </si>
  <si>
    <t>ตาราง ส 5. ผลการประเมินตนเองตามมาตรฐานสถาบันอุดมศึกษา</t>
  </si>
  <si>
    <t>มาตรฐานสถาบันอุดมศึกษา</t>
  </si>
  <si>
    <t>1. มาตรฐานด้านศักยภาพและความพร้อมในการจัดการศึกษา</t>
  </si>
  <si>
    <t xml:space="preserve">    (1) ด้านกายภาพ</t>
  </si>
  <si>
    <t xml:space="preserve">    (2) ด้านวิชาการ</t>
  </si>
  <si>
    <t xml:space="preserve">    (3) ด้านการเงิน</t>
  </si>
  <si>
    <t xml:space="preserve">    (4) ด้านการบริหารจัดการ</t>
  </si>
  <si>
    <t>เฉลี่ยรวมทุกตัวบ่งชี้ของมาตรฐานที่ 1</t>
  </si>
  <si>
    <t>2. มาตรฐานด้านการดำเนินการตามภารกิจของสถาบันอุดมศึกษา</t>
  </si>
  <si>
    <t xml:space="preserve">    (1) ด้านการผลิตบัณฑิต</t>
  </si>
  <si>
    <t xml:space="preserve">    (2) ด้านการวิจัย</t>
  </si>
  <si>
    <t xml:space="preserve">    (3) ด้านการให้บริการทางวิชาการแก่สังคม</t>
  </si>
  <si>
    <t xml:space="preserve">    (4) ด้านการทำนุบำรุงศิลปะและวัฒนธรรม</t>
  </si>
  <si>
    <t>เฉลี่ยรวมทุกตัวบ่งชี้ของมาตรฐานที่ 2</t>
  </si>
  <si>
    <t>เฉลี่ยรวมทุกตัวบ่งชี้ของทุกมาตรฐาน</t>
  </si>
  <si>
    <t>#</t>
  </si>
  <si>
    <t>ด้านบุคลากรการเรียนรู้และนวัตกรรม</t>
  </si>
  <si>
    <t>(%หรือสัดส่วน)</t>
  </si>
  <si>
    <t xml:space="preserve">    คะแนนเฉลี่ย </t>
  </si>
  <si>
    <t>องค์ประกอบและตัวบ่งชี้</t>
  </si>
  <si>
    <t>เชิงปริมาณ</t>
  </si>
  <si>
    <t>เชิงคุณภาพ</t>
  </si>
  <si>
    <t>คิดคะแนน
เทียบเกณฑ์</t>
  </si>
  <si>
    <t>รายละเอียดตัวตั้ง</t>
  </si>
  <si>
    <t>ผลการ
ดำเนินงาน</t>
  </si>
  <si>
    <t>คะแนน</t>
  </si>
  <si>
    <t>(ระบุเลข 1 ในข้อที่มีการดำเนินงาน)</t>
  </si>
  <si>
    <t>จำนวนข้อ
ที่ทำได้</t>
  </si>
  <si>
    <t>คะแนน
(ระดับ)</t>
  </si>
  <si>
    <t>รายละเอียดตัวหาร</t>
  </si>
  <si>
    <t>องค์ประกอบที่ 1 ปรัชญา ปณิธาน วัตถุประสงค์ และแผนดำเนินการ (1)</t>
  </si>
  <si>
    <t>สกอ.</t>
  </si>
  <si>
    <t>1.1 กระบวนการพัฒนาแผน</t>
  </si>
  <si>
    <t>สมศ.</t>
  </si>
  <si>
    <t>องค์ประกอบที่ 2 การผลิตบัณฑิต (8)</t>
  </si>
  <si>
    <t xml:space="preserve">2.2 อาจารย์ประจำที่มีคุณวุฒิปริญญาเอก </t>
  </si>
  <si>
    <t>อาจารย์ป.เอก</t>
  </si>
  <si>
    <t>อาจารย์ทั้งหมด</t>
  </si>
  <si>
    <t xml:space="preserve">2.3 อาจารย์ประจำที่ดำรงตำแหน่งทางวิชาการ </t>
  </si>
  <si>
    <t>รศ.+ศ.</t>
  </si>
  <si>
    <t>2.6 ระบบและกลไกการจัดการเรียนการสอน</t>
  </si>
  <si>
    <t>3. ผลงานของผู้สำเร็จการศึกษาระดับปริญญาโทที่ได้รับการตีพิมพ์หรือเผยแพร่</t>
  </si>
  <si>
    <t>ถ่วงน้ำหนักผลงานฯ</t>
  </si>
  <si>
    <t>กรณีที่ 1</t>
  </si>
  <si>
    <t>กรณีที่ 2</t>
  </si>
  <si>
    <t>กรณีที่ 3</t>
  </si>
  <si>
    <t>กรณีที่ 4</t>
  </si>
  <si>
    <t>ผู้สำเร็จการศึกษาป.โท</t>
  </si>
  <si>
    <t>4. ผลงานของผู้สำเร็จการศึกษาระดับปริญญาเอกที่ได้รับการตีพิมพ์หรือเผยแพร่</t>
  </si>
  <si>
    <t>ผู้สำเร็จการศึกษาป.เอก</t>
  </si>
  <si>
    <t>14. การพัฒนาคณาจารย์</t>
  </si>
  <si>
    <t>ถ่วงน้ำหนักของอาจารย์</t>
  </si>
  <si>
    <t>อาจารย์-ตรี</t>
  </si>
  <si>
    <t>อาจารย์-โท</t>
  </si>
  <si>
    <t>อาจารย์-เอก</t>
  </si>
  <si>
    <t>ผู้ช่วยศาสตราจารย์-ตรี</t>
  </si>
  <si>
    <t>ผู้ช่วยศาสตราจารย์-โท</t>
  </si>
  <si>
    <t>ผู้ช่วยศาสตราจารย์-เอก</t>
  </si>
  <si>
    <t>รองศาสตราจารย์-ตรี</t>
  </si>
  <si>
    <t>รองศาสตราจารย์-โท</t>
  </si>
  <si>
    <t>รองศาสตราจารย์-เอก</t>
  </si>
  <si>
    <t>ศาสตราจารย์-ตรี</t>
  </si>
  <si>
    <t>ศาสตราจารย์-โท</t>
  </si>
  <si>
    <t>ศาสตราจารย์-เอก</t>
  </si>
  <si>
    <t>องค์ประกอบที่ 4 การวิจัย (3)</t>
  </si>
  <si>
    <t>4.3 เงินสนับสนุนงานวิจัยและงานสร้างสรรค์ต่อจำนวนอาจารย์ประจำและนักวิจัย</t>
  </si>
  <si>
    <t>เงินสนับสนุน</t>
  </si>
  <si>
    <t>อาจารย์+นักวิจัย</t>
  </si>
  <si>
    <t>5. งานวิจัยหรืองานสร้างสรรค์ที่ได้รับการตีพิมพ์หรือเผยแพร่</t>
  </si>
  <si>
    <t>อาจารย์และนักวิจัยทั้งหมด</t>
  </si>
  <si>
    <t>6. งานวิจัยหรืองานสร้างสรรค์ที่นำไปใช้ประโยชน์</t>
  </si>
  <si>
    <t>จำนวนงานวิจัย/สร้างสรรค์</t>
  </si>
  <si>
    <t>7. ผลงานวิชาการที่ได้รับการรับรองคุณภาพ</t>
  </si>
  <si>
    <t>องค์ประกอบที่ 5 การบริการทางวิชาการแก่สังคม (2)</t>
  </si>
  <si>
    <t>8. ผลการนำความรู้และประสบการณ์จากการให้บริการวิชาการมาใช้ในการพัฒนาการเรียนการสอนหรือการวิจัย</t>
  </si>
  <si>
    <t>โครงการ/กิจกรรมทั้งหมด</t>
  </si>
  <si>
    <t>องค์ประกอบที่ 7 การบริหารและการจัดการ (4)</t>
  </si>
  <si>
    <t>7.4 ระบบบริหารความเสี่ยง</t>
  </si>
  <si>
    <t>องค์ประกอบที่ 9 ระบบและกลไกการประกันคุณภาพ (1)</t>
  </si>
  <si>
    <t>15. ผลประเมินการประกันคุณภาพภายในรับรองโดยต้นสังกัด</t>
  </si>
  <si>
    <t>ค่าเฉลี่ยตัวบ่งชี้ที่ 1-11 ของ สมศ.</t>
  </si>
  <si>
    <t>ค่าเฉลี่ยทุกตัวบ่งชี้ของ สมศ.</t>
  </si>
  <si>
    <t>เฉลี่ย 1-11</t>
  </si>
  <si>
    <t>ผ่าน</t>
  </si>
  <si>
    <t>KPIs</t>
  </si>
  <si>
    <t>ข้อมูลถ่วงน้ำหนัก</t>
  </si>
  <si>
    <t>ข้อมูลพื้นฐาน</t>
  </si>
  <si>
    <t>โครงการพัฒนาการเรียนการสอนและการวิจัย</t>
  </si>
  <si>
    <t>ร้อยละปีก่อนหน้า</t>
  </si>
  <si>
    <t>ร้อยละปีปัจจุบัน</t>
  </si>
  <si>
    <t>กรณีที่ 2 ค่าการเพิ่มขึ้นของอาจารย์ประจำที่มีวุฒิปริญญาเอก</t>
  </si>
  <si>
    <t>(กลุ่มสาขาวิชาวิทยาศาสตร์และเทคโนโลยี 180,000 บาท)</t>
  </si>
  <si>
    <t>(กลุ่มสาขาวิชาวิทยาศาสตร์สุขภาพ 150,000 บาท)</t>
  </si>
  <si>
    <t>(กลุ่มสาขาวิชาวิทยาศาสตร์สุขภาพ)</t>
  </si>
  <si>
    <t>อาจารย์ปฏิบัติงานทั้งหมด</t>
  </si>
  <si>
    <t>ตรวจสอบว่าใช้กรณีที่ 1 หรือ 2</t>
  </si>
  <si>
    <t>ตรวจสอบว่าใช้กรณีใด</t>
  </si>
  <si>
    <t>จำนวนตัวชี้วัดที่ประเมิน</t>
  </si>
  <si>
    <t>จำนวน KPIที่ผ่านเทียบแผน/ผล</t>
  </si>
  <si>
    <t>KPI</t>
  </si>
  <si>
    <t>ค่าเฉลี่ย 9 องค์ประกอบการประเมินคุณภาพภายใน (สกอ.)</t>
  </si>
  <si>
    <r>
      <rPr>
        <sz val="15"/>
        <rFont val="Wingdings"/>
        <family val="0"/>
      </rPr>
      <t>þ</t>
    </r>
    <r>
      <rPr>
        <sz val="15"/>
        <rFont val="TH SarabunPSK"/>
        <family val="2"/>
      </rPr>
      <t xml:space="preserve">  กลุ่ม ง   สถาบันที่เน้นการวิจัยขั้นสูงและผลิตบัณฑิตระดับบัณฑิตศึกษาโดยเฉพาะระดับปริญญาเอก</t>
    </r>
  </si>
  <si>
    <r>
      <rPr>
        <sz val="15"/>
        <rFont val="Wingdings"/>
        <family val="0"/>
      </rPr>
      <t xml:space="preserve">þ </t>
    </r>
    <r>
      <rPr>
        <sz val="15"/>
        <rFont val="TH SarabunPSK"/>
        <family val="2"/>
      </rPr>
      <t xml:space="preserve"> กลุ่ม ง   สถาบันที่เน้นการวิจัยขั้นสูงและผลิตบัณฑิตระดับบัณฑิตศึกษาโดยเฉพาะระดับปริญญาเอก</t>
    </r>
  </si>
  <si>
    <t>เฉลี่ยรวมทุกตัวบ่งชี้ของ
ทุกองค์ประกอบ</t>
  </si>
  <si>
    <r>
      <rPr>
        <b/>
        <sz val="14"/>
        <rFont val="TH SarabunPSK"/>
        <family val="2"/>
      </rPr>
      <t>ผลการประเมิน</t>
    </r>
    <r>
      <rPr>
        <sz val="12"/>
        <rFont val="TH SarabunPSK"/>
        <family val="2"/>
      </rPr>
      <t xml:space="preserve">
0.00&lt;=1.50การดำเนินงานต้องปรับปรุงเร่งด่วน
1.51–2.50 การดำเนินงานต้องปรับปรุง
2.51–3.50 การดำเนินงานระดับพอใช้
3.51-4.00 การดำเนินงานระดับดี
4.51-5.00 การดำเนินงานระดับดีมาก</t>
    </r>
  </si>
  <si>
    <t>ไม่นำตัวบ่งชี้ 
สมศ.15 มาคำนวณ</t>
  </si>
  <si>
    <r>
      <t xml:space="preserve">  </t>
    </r>
    <r>
      <rPr>
        <sz val="15"/>
        <rFont val="Wingdings"/>
        <family val="0"/>
      </rPr>
      <t xml:space="preserve">þ </t>
    </r>
    <r>
      <rPr>
        <sz val="15"/>
        <rFont val="TH SarabunPSK"/>
        <family val="2"/>
      </rPr>
      <t xml:space="preserve"> กลุ่ม ง   สถาบันที่เน้นการวิจัยขั้นสูงและผลิตบัณฑิตระดับบัณฑิตศึกษาโดยเฉพาะระดับปริญญาเอก</t>
    </r>
  </si>
  <si>
    <r>
      <rPr>
        <sz val="16"/>
        <rFont val="Wingdings"/>
        <family val="0"/>
      </rPr>
      <t>þ</t>
    </r>
    <r>
      <rPr>
        <sz val="16"/>
        <rFont val="TH SarabunPSK"/>
        <family val="2"/>
      </rPr>
      <t xml:space="preserve">  กลุ่ม ง   สถาบันที่เน้นการวิจัยขั้นสูงและผลิตบัณฑิตระดับบัณฑิตศึกษาโดยเฉพาะระดับปริญญาเอก</t>
    </r>
  </si>
  <si>
    <t>þ  กลุ่ม ง   สถาบันที่เน้นการวิจัยขั้นสูงและผลิตบัณฑิตระดับบัณฑิตศึกษาโดยเฉพาะระดับปริญญาเอก</t>
  </si>
  <si>
    <t>(ปรับการรายงาน เป็น "ปีปฏิทิน")</t>
  </si>
  <si>
    <t>เป้าหมาย (KPIs)</t>
  </si>
  <si>
    <r>
      <rPr>
        <b/>
        <sz val="10"/>
        <rFont val="Arial"/>
        <family val="2"/>
      </rPr>
      <t xml:space="preserve">กรณีที่ 1 </t>
    </r>
    <r>
      <rPr>
        <sz val="10"/>
        <rFont val="Arial"/>
        <family val="2"/>
      </rPr>
      <t>ร้อยละของอาจารย์ประจำที่มีวุฒิปริญญาเอก</t>
    </r>
  </si>
  <si>
    <r>
      <rPr>
        <b/>
        <sz val="10"/>
        <rFont val="Arial"/>
        <family val="2"/>
      </rPr>
      <t>กรณีที่ 1</t>
    </r>
    <r>
      <rPr>
        <sz val="10"/>
        <rFont val="Arial"/>
        <family val="2"/>
      </rPr>
      <t xml:space="preserve"> ร้อยละของอาจารย์ประจำที่ดำรงตำแหน่งทางวิชาการ</t>
    </r>
  </si>
  <si>
    <t>8 ข้อ/5 คะแนน</t>
  </si>
  <si>
    <t>&gt;60%/ 5 คะแนน</t>
  </si>
  <si>
    <t>6 ข้อ/ 4 คะแนน</t>
  </si>
  <si>
    <t>&gt;150,000/5 คะแนน</t>
  </si>
  <si>
    <t>6 ข้อ/ 5 คะแนน</t>
  </si>
  <si>
    <t>50% /5 คะแนน</t>
  </si>
  <si>
    <t>100%/ 5 คะแนน</t>
  </si>
  <si>
    <t>20%/ 5 คะแนน</t>
  </si>
  <si>
    <t>8% / 4 คะแนน</t>
  </si>
  <si>
    <t>30% /5 คะแนน</t>
  </si>
  <si>
    <t>6.0/5 คะแนน</t>
  </si>
  <si>
    <t>4.00 /4 คะแนน</t>
  </si>
  <si>
    <t>สกอ.  1.1</t>
  </si>
  <si>
    <t>สกอ.  2.2</t>
  </si>
  <si>
    <t>สกอ.  2.3</t>
  </si>
  <si>
    <t>สกอ.  2.6</t>
  </si>
  <si>
    <t>สมศ.  3</t>
  </si>
  <si>
    <t>สมศ.  4</t>
  </si>
  <si>
    <t>สมศ.  14</t>
  </si>
  <si>
    <t>สกอ.  4.3</t>
  </si>
  <si>
    <t>สมศ.  5</t>
  </si>
  <si>
    <t>สมศ.  7</t>
  </si>
  <si>
    <t>สมศ.  8</t>
  </si>
  <si>
    <t>สกอ.  7.4</t>
  </si>
  <si>
    <t>สมศ.  15</t>
  </si>
  <si>
    <t>ผ่าน=1 ไม่ผ่าน=0</t>
  </si>
  <si>
    <r>
      <rPr>
        <sz val="15"/>
        <rFont val="Wingdings"/>
        <family val="0"/>
      </rPr>
      <t>þ</t>
    </r>
    <r>
      <rPr>
        <sz val="15"/>
        <rFont val="TH SarabunPSK"/>
        <family val="2"/>
      </rPr>
      <t xml:space="preserve">  กลุ่ม ง   สถาบันเน้นการวิจัยขั้นสูงและผลิตบัณฑิตระดับบัณฑิตศึกษาโดยเฉพาะระดับปริญญาเอก</t>
    </r>
  </si>
  <si>
    <t>ไม่ประเมิน</t>
  </si>
  <si>
    <r>
      <rPr>
        <u val="single"/>
        <sz val="22"/>
        <rFont val="Tahoma"/>
        <family val="2"/>
      </rPr>
      <t>หมายเหตุ</t>
    </r>
    <r>
      <rPr>
        <sz val="22"/>
        <rFont val="Tahoma"/>
        <family val="2"/>
      </rPr>
      <t xml:space="preserve">  เป้าหมายในช่อง KPIs ได้ดึงมาใส่ให้แล้วค่ะ ไม่ต้องแก้ไข</t>
    </r>
  </si>
  <si>
    <r>
      <t xml:space="preserve">ขอให้ท่าน </t>
    </r>
    <r>
      <rPr>
        <u val="single"/>
        <sz val="24"/>
        <color indexed="10"/>
        <rFont val="Tahoma"/>
        <family val="2"/>
      </rPr>
      <t>กรอกข้อมูล</t>
    </r>
    <r>
      <rPr>
        <sz val="24"/>
        <color indexed="10"/>
        <rFont val="Tahoma"/>
        <family val="2"/>
      </rPr>
      <t xml:space="preserve">ผลการดำเนินงาน </t>
    </r>
    <r>
      <rPr>
        <u val="single"/>
        <sz val="24"/>
        <color indexed="10"/>
        <rFont val="Tahoma"/>
        <family val="2"/>
      </rPr>
      <t>เฉพาะ sheet Form7 (แถบสีแดง)</t>
    </r>
    <r>
      <rPr>
        <sz val="24"/>
        <color indexed="10"/>
        <rFont val="Tahoma"/>
        <family val="2"/>
      </rPr>
      <t xml:space="preserve">เท่านั้น
</t>
    </r>
    <r>
      <rPr>
        <sz val="24"/>
        <color indexed="12"/>
        <rFont val="Tahoma"/>
        <family val="2"/>
      </rPr>
      <t>สำหรับแบบฟอร์มอื่นๆ (sheet สีน้ำเงิน) นั้น ทางงานแผนฯ ได้ใส่สูตร ไว้ให้แล้ว
มันจะคำนวณให้อัตโนมัติ ท่านสามารถนำไปใช้ในการจัดทำ SAR ได้แลย</t>
    </r>
  </si>
  <si>
    <t>ภาควิชาเภสัชเวทและเภสัชพฤกษศาสตร์ คณะเภสัชศาสตร์</t>
  </si>
  <si>
    <t>24%/4 คะแนน</t>
  </si>
  <si>
    <t>ตารางแสดงผลการดำเนินงาน และผลการประเมินคุณตามองค์ประกอบและตัวบ่งชี้การประเมินคุณภาพภายใน ปีการศึกษา 2556</t>
  </si>
  <si>
    <t>at 21 Feb 2014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</si>
</sst>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\t&quot;£&quot;#,##0_);\(\t&quot;£&quot;#,##0\)"/>
    <numFmt numFmtId="206" formatCode="\t&quot;£&quot;#,##0_);[Red]\(\t&quot;£&quot;#,##0\)"/>
    <numFmt numFmtId="207" formatCode="\t&quot;£&quot;#,##0.00_);\(\t&quot;£&quot;#,##0.00\)"/>
    <numFmt numFmtId="208" formatCode="\t&quot;£&quot;#,##0.00_);[Red]\(\t&quot;£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#,##0_ ;\-#,##0\ "/>
    <numFmt numFmtId="214" formatCode="_-* #,##0.0000_-;\-* #,##0.0000_-;_-* &quot;-&quot;????_-;_-@_-"/>
    <numFmt numFmtId="215" formatCode="0.0"/>
    <numFmt numFmtId="216" formatCode="_-* #,##0.00000_-;\-* #,##0.00000_-;_-* &quot;-&quot;????_-;_-@_-"/>
    <numFmt numFmtId="217" formatCode="_-* #,##0.000_-;\-* #,##0.000_-;_-* &quot;-&quot;????_-;_-@_-"/>
    <numFmt numFmtId="218" formatCode="_-* #,##0.00_-;\-* #,##0.00_-;_-* &quot;-&quot;????_-;_-@_-"/>
    <numFmt numFmtId="219" formatCode="0.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00"/>
    <numFmt numFmtId="225" formatCode="0.00000000"/>
    <numFmt numFmtId="226" formatCode="0.0000000"/>
    <numFmt numFmtId="227" formatCode="0.000000"/>
    <numFmt numFmtId="228" formatCode="0.00000"/>
    <numFmt numFmtId="229" formatCode="#,##0.000"/>
    <numFmt numFmtId="230" formatCode="#,##0.0"/>
    <numFmt numFmtId="231" formatCode="#,##0.0000"/>
    <numFmt numFmtId="232" formatCode="_-* #,##0.0_-;\-* #,##0.0_-;_-* &quot;-&quot;??_-;_-@_-"/>
    <numFmt numFmtId="233" formatCode="#,##0.0_ ;\-#,##0.0\ "/>
    <numFmt numFmtId="234" formatCode="#,##0.00_ ;\-#,##0.00\ "/>
  </numFmts>
  <fonts count="103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4"/>
      <color indexed="8"/>
      <name val="Cordia New"/>
      <family val="2"/>
    </font>
    <font>
      <sz val="14"/>
      <name val="Cordia New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 New"/>
      <family val="2"/>
    </font>
    <font>
      <b/>
      <sz val="15"/>
      <name val="TH Sarabun New"/>
      <family val="2"/>
    </font>
    <font>
      <sz val="15"/>
      <name val="TH Sarabun New"/>
      <family val="2"/>
    </font>
    <font>
      <sz val="15"/>
      <name val="Wingdings"/>
      <family val="0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Wingdings"/>
      <family val="0"/>
    </font>
    <font>
      <sz val="15"/>
      <color indexed="10"/>
      <name val="TH SarabunPSK"/>
      <family val="2"/>
    </font>
    <font>
      <b/>
      <sz val="15"/>
      <color indexed="8"/>
      <name val="TH SarabunPSK"/>
      <family val="2"/>
    </font>
    <font>
      <b/>
      <sz val="15"/>
      <color indexed="10"/>
      <name val="TH SarabunPSK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2"/>
      <name val="TH SarabunPSK"/>
      <family val="2"/>
    </font>
    <font>
      <sz val="24"/>
      <color indexed="10"/>
      <name val="Tahoma"/>
      <family val="2"/>
    </font>
    <font>
      <u val="single"/>
      <sz val="24"/>
      <color indexed="10"/>
      <name val="Tahoma"/>
      <family val="2"/>
    </font>
    <font>
      <sz val="24"/>
      <color indexed="12"/>
      <name val="Tahoma"/>
      <family val="2"/>
    </font>
    <font>
      <sz val="22"/>
      <name val="Tahoma"/>
      <family val="2"/>
    </font>
    <font>
      <u val="single"/>
      <sz val="22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6"/>
      <color indexed="8"/>
      <name val="Tahoma"/>
      <family val="2"/>
    </font>
    <font>
      <sz val="10"/>
      <color indexed="60"/>
      <name val="Cordia New"/>
      <family val="2"/>
    </font>
    <font>
      <sz val="8"/>
      <color indexed="60"/>
      <name val="Tahoma"/>
      <family val="2"/>
    </font>
    <font>
      <b/>
      <sz val="10"/>
      <color indexed="9"/>
      <name val="Arial"/>
      <family val="2"/>
    </font>
    <font>
      <sz val="15"/>
      <color indexed="12"/>
      <name val="TH SarabunPSK"/>
      <family val="2"/>
    </font>
    <font>
      <sz val="16"/>
      <color indexed="10"/>
      <name val="TH SarabunPSK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10"/>
      <color indexed="12"/>
      <name val="Arial Unicode MS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.5"/>
      <color indexed="10"/>
      <name val="Tahoma"/>
      <family val="0"/>
    </font>
    <font>
      <sz val="10.5"/>
      <color indexed="10"/>
      <name val="Calibri"/>
      <family val="0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11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1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sz val="16"/>
      <color theme="1"/>
      <name val="Tahoma"/>
      <family val="2"/>
    </font>
    <font>
      <sz val="11"/>
      <color theme="1"/>
      <name val="Calibri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0"/>
      <color rgb="FFFF0000"/>
      <name val="Arial"/>
      <family val="2"/>
    </font>
    <font>
      <sz val="10"/>
      <color theme="5" tint="-0.24997000396251678"/>
      <name val="Cordia New"/>
      <family val="2"/>
    </font>
    <font>
      <sz val="8"/>
      <color theme="5" tint="-0.24997000396251678"/>
      <name val="Tahoma"/>
      <family val="2"/>
    </font>
    <font>
      <sz val="15"/>
      <color rgb="FFFF0000"/>
      <name val="TH SarabunPSK"/>
      <family val="2"/>
    </font>
    <font>
      <b/>
      <sz val="10"/>
      <color theme="0"/>
      <name val="Arial"/>
      <family val="2"/>
    </font>
    <font>
      <sz val="15"/>
      <color rgb="FF0000FF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5"/>
      <color theme="1"/>
      <name val="TH SarabunPSK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rgb="FF0000FF"/>
      <name val="Arial Unicode MS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24"/>
      <color rgb="FFFF0000"/>
      <name val="Tahoma"/>
      <family val="2"/>
    </font>
    <font>
      <b/>
      <sz val="8"/>
      <name val="Tahom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0" applyNumberFormat="0" applyBorder="0" applyAlignment="0" applyProtection="0"/>
    <xf numFmtId="0" fontId="69" fillId="41" borderId="1" applyNumberFormat="0" applyAlignment="0" applyProtection="0"/>
    <xf numFmtId="0" fontId="70" fillId="4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43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44" borderId="1" applyNumberFormat="0" applyAlignment="0" applyProtection="0"/>
    <xf numFmtId="0" fontId="79" fillId="0" borderId="6" applyNumberFormat="0" applyFill="0" applyAlignment="0" applyProtection="0"/>
    <xf numFmtId="0" fontId="80" fillId="45" borderId="0" applyNumberFormat="0" applyBorder="0" applyAlignment="0" applyProtection="0"/>
    <xf numFmtId="0" fontId="8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0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" fillId="0" borderId="0">
      <alignment/>
      <protection/>
    </xf>
    <xf numFmtId="0" fontId="1" fillId="46" borderId="7" applyNumberFormat="0" applyFont="0" applyAlignment="0" applyProtection="0"/>
    <xf numFmtId="0" fontId="83" fillId="41" borderId="8" applyNumberForma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17" fillId="47" borderId="10" applyNumberFormat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48" borderId="11" applyNumberFormat="0" applyAlignment="0" applyProtection="0"/>
    <xf numFmtId="0" fontId="25" fillId="0" borderId="12" applyNumberFormat="0" applyFill="0" applyAlignment="0" applyProtection="0"/>
    <xf numFmtId="0" fontId="20" fillId="1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4" fillId="13" borderId="10" applyNumberFormat="0" applyAlignment="0" applyProtection="0"/>
    <xf numFmtId="0" fontId="26" fillId="49" borderId="0" applyNumberFormat="0" applyBorder="0" applyAlignment="0" applyProtection="0"/>
    <xf numFmtId="0" fontId="29" fillId="0" borderId="13" applyNumberFormat="0" applyFill="0" applyAlignment="0" applyProtection="0"/>
    <xf numFmtId="0" fontId="16" fillId="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53" borderId="0" applyNumberFormat="0" applyBorder="0" applyAlignment="0" applyProtection="0"/>
    <xf numFmtId="0" fontId="27" fillId="47" borderId="14" applyNumberFormat="0" applyAlignment="0" applyProtection="0"/>
    <xf numFmtId="0" fontId="8" fillId="54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5" fillId="0" borderId="0" xfId="0" applyFont="1" applyAlignment="1">
      <alignment/>
    </xf>
    <xf numFmtId="43" fontId="5" fillId="0" borderId="0" xfId="60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43" fontId="4" fillId="0" borderId="0" xfId="60" applyFont="1" applyAlignment="1">
      <alignment/>
    </xf>
    <xf numFmtId="2" fontId="6" fillId="0" borderId="19" xfId="0" applyNumberFormat="1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2" fontId="7" fillId="0" borderId="19" xfId="0" applyNumberFormat="1" applyFont="1" applyBorder="1" applyAlignment="1" applyProtection="1">
      <alignment horizontal="center" vertical="top"/>
      <protection/>
    </xf>
    <xf numFmtId="0" fontId="8" fillId="0" borderId="0" xfId="82" applyFont="1" applyFill="1" applyBorder="1" applyAlignment="1">
      <alignment horizontal="center" vertical="center"/>
      <protection/>
    </xf>
    <xf numFmtId="0" fontId="8" fillId="0" borderId="20" xfId="82" applyFont="1" applyFill="1" applyBorder="1" applyAlignment="1">
      <alignment horizontal="center" vertical="center"/>
      <protection/>
    </xf>
    <xf numFmtId="2" fontId="8" fillId="0" borderId="21" xfId="80" applyNumberFormat="1" applyFont="1" applyFill="1" applyBorder="1" applyAlignment="1">
      <alignment horizontal="center" vertical="center" wrapText="1"/>
      <protection/>
    </xf>
    <xf numFmtId="0" fontId="8" fillId="0" borderId="22" xfId="80" applyFont="1" applyFill="1" applyBorder="1" applyAlignment="1">
      <alignment horizontal="center" vertical="top" wrapText="1"/>
      <protection/>
    </xf>
    <xf numFmtId="2" fontId="8" fillId="0" borderId="0" xfId="82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19" xfId="82" applyFont="1" applyFill="1" applyBorder="1" applyAlignment="1">
      <alignment horizontal="center" vertical="center" wrapText="1"/>
      <protection/>
    </xf>
    <xf numFmtId="0" fontId="8" fillId="0" borderId="19" xfId="82" applyFont="1" applyFill="1" applyBorder="1" applyAlignment="1">
      <alignment horizontal="left" vertical="center" wrapText="1"/>
      <protection/>
    </xf>
    <xf numFmtId="43" fontId="4" fillId="0" borderId="0" xfId="60" applyFont="1" applyAlignment="1">
      <alignment horizontal="center"/>
    </xf>
    <xf numFmtId="0" fontId="8" fillId="0" borderId="0" xfId="82" applyFont="1" applyAlignment="1">
      <alignment horizontal="center" vertical="center" wrapText="1"/>
      <protection/>
    </xf>
    <xf numFmtId="0" fontId="8" fillId="0" borderId="0" xfId="82" applyFont="1" applyFill="1" applyBorder="1" applyAlignment="1">
      <alignment horizontal="center" vertical="center" wrapText="1"/>
      <protection/>
    </xf>
    <xf numFmtId="0" fontId="9" fillId="0" borderId="0" xfId="82" applyFont="1" applyFill="1" applyBorder="1" applyAlignment="1">
      <alignment horizontal="center" vertical="center" wrapText="1"/>
      <protection/>
    </xf>
    <xf numFmtId="0" fontId="9" fillId="0" borderId="22" xfId="82" applyFont="1" applyFill="1" applyBorder="1" applyAlignment="1">
      <alignment horizontal="center" vertical="center" wrapText="1"/>
      <protection/>
    </xf>
    <xf numFmtId="0" fontId="8" fillId="0" borderId="22" xfId="82" applyFont="1" applyFill="1" applyBorder="1" applyAlignment="1">
      <alignment horizontal="center" vertical="center" wrapText="1"/>
      <protection/>
    </xf>
    <xf numFmtId="0" fontId="8" fillId="47" borderId="23" xfId="82" applyFont="1" applyFill="1" applyBorder="1" applyAlignment="1">
      <alignment horizontal="center" vertical="center" wrapText="1"/>
      <protection/>
    </xf>
    <xf numFmtId="1" fontId="8" fillId="47" borderId="19" xfId="82" applyNumberFormat="1" applyFont="1" applyFill="1" applyBorder="1" applyAlignment="1">
      <alignment horizontal="center" vertical="center" wrapText="1"/>
      <protection/>
    </xf>
    <xf numFmtId="2" fontId="8" fillId="0" borderId="22" xfId="82" applyNumberFormat="1" applyFont="1" applyFill="1" applyBorder="1" applyAlignment="1">
      <alignment horizontal="center" vertical="center" wrapText="1"/>
      <protection/>
    </xf>
    <xf numFmtId="0" fontId="9" fillId="0" borderId="24" xfId="82" applyFont="1" applyFill="1" applyBorder="1" applyAlignment="1">
      <alignment horizontal="center" vertical="center" wrapText="1"/>
      <protection/>
    </xf>
    <xf numFmtId="0" fontId="9" fillId="0" borderId="0" xfId="82" applyFont="1" applyAlignment="1">
      <alignment horizontal="center" vertical="center" wrapText="1"/>
      <protection/>
    </xf>
    <xf numFmtId="0" fontId="8" fillId="0" borderId="0" xfId="82" applyFont="1" applyFill="1" applyAlignment="1">
      <alignment horizontal="center" vertical="center" wrapText="1"/>
      <protection/>
    </xf>
    <xf numFmtId="0" fontId="8" fillId="0" borderId="25" xfId="82" applyFont="1" applyFill="1" applyBorder="1" applyAlignment="1">
      <alignment horizontal="center" vertical="center" wrapText="1"/>
      <protection/>
    </xf>
    <xf numFmtId="0" fontId="8" fillId="0" borderId="0" xfId="82" applyFont="1" applyFill="1" applyAlignment="1">
      <alignment horizontal="left" vertical="center" wrapText="1"/>
      <protection/>
    </xf>
    <xf numFmtId="0" fontId="8" fillId="0" borderId="0" xfId="82" applyFont="1" applyFill="1" applyBorder="1" applyAlignment="1">
      <alignment horizontal="left" vertical="center" wrapText="1"/>
      <protection/>
    </xf>
    <xf numFmtId="2" fontId="8" fillId="0" borderId="0" xfId="82" applyNumberFormat="1" applyFont="1" applyFill="1" applyBorder="1" applyAlignment="1">
      <alignment horizontal="center" vertical="center" wrapText="1"/>
      <protection/>
    </xf>
    <xf numFmtId="0" fontId="9" fillId="0" borderId="21" xfId="82" applyFont="1" applyFill="1" applyBorder="1" applyAlignment="1">
      <alignment horizontal="center" vertical="center" wrapText="1"/>
      <protection/>
    </xf>
    <xf numFmtId="0" fontId="8" fillId="13" borderId="26" xfId="82" applyFont="1" applyFill="1" applyBorder="1" applyAlignment="1">
      <alignment horizontal="left" vertical="center" wrapText="1"/>
      <protection/>
    </xf>
    <xf numFmtId="0" fontId="8" fillId="0" borderId="0" xfId="82" applyFont="1" applyFill="1" applyBorder="1" applyAlignment="1">
      <alignment horizontal="left" vertical="center"/>
      <protection/>
    </xf>
    <xf numFmtId="0" fontId="8" fillId="49" borderId="27" xfId="82" applyFont="1" applyFill="1" applyBorder="1" applyAlignment="1">
      <alignment horizontal="left" vertical="center" wrapText="1"/>
      <protection/>
    </xf>
    <xf numFmtId="0" fontId="9" fillId="0" borderId="19" xfId="82" applyFont="1" applyFill="1" applyBorder="1" applyAlignment="1">
      <alignment horizontal="center" vertical="center" wrapText="1"/>
      <protection/>
    </xf>
    <xf numFmtId="0" fontId="8" fillId="49" borderId="26" xfId="82" applyFont="1" applyFill="1" applyBorder="1" applyAlignment="1">
      <alignment horizontal="left" vertical="center" wrapText="1"/>
      <protection/>
    </xf>
    <xf numFmtId="0" fontId="8" fillId="47" borderId="23" xfId="80" applyFont="1" applyFill="1" applyBorder="1" applyAlignment="1">
      <alignment horizontal="center" vertical="center" wrapText="1"/>
      <protection/>
    </xf>
    <xf numFmtId="0" fontId="9" fillId="0" borderId="24" xfId="80" applyFont="1" applyFill="1" applyBorder="1" applyAlignment="1">
      <alignment horizontal="center" vertical="center" wrapText="1"/>
      <protection/>
    </xf>
    <xf numFmtId="2" fontId="8" fillId="0" borderId="22" xfId="80" applyNumberFormat="1" applyFont="1" applyFill="1" applyBorder="1" applyAlignment="1">
      <alignment horizontal="center" vertical="center" wrapText="1"/>
      <protection/>
    </xf>
    <xf numFmtId="0" fontId="8" fillId="0" borderId="28" xfId="82" applyFont="1" applyBorder="1" applyAlignment="1">
      <alignment horizontal="center" vertical="center" wrapText="1"/>
      <protection/>
    </xf>
    <xf numFmtId="0" fontId="8" fillId="47" borderId="25" xfId="82" applyFont="1" applyFill="1" applyBorder="1" applyAlignment="1">
      <alignment horizontal="center" vertical="center" wrapText="1"/>
      <protection/>
    </xf>
    <xf numFmtId="0" fontId="8" fillId="0" borderId="20" xfId="82" applyFont="1" applyBorder="1" applyAlignment="1">
      <alignment horizontal="center" vertical="center" wrapText="1"/>
      <protection/>
    </xf>
    <xf numFmtId="0" fontId="8" fillId="0" borderId="20" xfId="82" applyFont="1" applyFill="1" applyBorder="1" applyAlignment="1">
      <alignment horizontal="center" vertical="center" wrapText="1"/>
      <protection/>
    </xf>
    <xf numFmtId="0" fontId="8" fillId="11" borderId="23" xfId="82" applyFont="1" applyFill="1" applyBorder="1" applyAlignment="1">
      <alignment horizontal="center" vertical="center" wrapText="1"/>
      <protection/>
    </xf>
    <xf numFmtId="0" fontId="8" fillId="47" borderId="29" xfId="82" applyFont="1" applyFill="1" applyBorder="1" applyAlignment="1">
      <alignment horizontal="center" vertical="center" wrapText="1"/>
      <protection/>
    </xf>
    <xf numFmtId="0" fontId="8" fillId="0" borderId="19" xfId="80" applyFont="1" applyFill="1" applyBorder="1" applyAlignment="1">
      <alignment horizontal="center" vertical="top" wrapText="1"/>
      <protection/>
    </xf>
    <xf numFmtId="0" fontId="9" fillId="49" borderId="26" xfId="82" applyFont="1" applyFill="1" applyBorder="1" applyAlignment="1">
      <alignment horizontal="left" vertical="center" wrapText="1"/>
      <protection/>
    </xf>
    <xf numFmtId="0" fontId="8" fillId="0" borderId="24" xfId="82" applyFont="1" applyFill="1" applyBorder="1" applyAlignment="1">
      <alignment horizontal="center" vertical="top" wrapText="1"/>
      <protection/>
    </xf>
    <xf numFmtId="0" fontId="8" fillId="0" borderId="22" xfId="82" applyFont="1" applyFill="1" applyBorder="1" applyAlignment="1">
      <alignment horizontal="center" vertical="top" wrapText="1"/>
      <protection/>
    </xf>
    <xf numFmtId="0" fontId="8" fillId="0" borderId="21" xfId="80" applyFont="1" applyFill="1" applyBorder="1" applyAlignment="1">
      <alignment horizontal="center" vertical="top" wrapText="1"/>
      <protection/>
    </xf>
    <xf numFmtId="0" fontId="8" fillId="55" borderId="19" xfId="82" applyFont="1" applyFill="1" applyBorder="1" applyAlignment="1">
      <alignment horizontal="center" vertical="center" wrapText="1"/>
      <protection/>
    </xf>
    <xf numFmtId="0" fontId="8" fillId="0" borderId="0" xfId="82" applyFont="1" applyAlignment="1">
      <alignment horizontal="left" vertical="center" wrapText="1"/>
      <protection/>
    </xf>
    <xf numFmtId="0" fontId="8" fillId="12" borderId="19" xfId="82" applyFont="1" applyFill="1" applyBorder="1" applyAlignment="1">
      <alignment horizontal="center" vertical="center" wrapText="1"/>
      <protection/>
    </xf>
    <xf numFmtId="1" fontId="8" fillId="9" borderId="19" xfId="82" applyNumberFormat="1" applyFont="1" applyFill="1" applyBorder="1" applyAlignment="1">
      <alignment horizontal="center" vertical="center" wrapText="1"/>
      <protection/>
    </xf>
    <xf numFmtId="1" fontId="9" fillId="0" borderId="0" xfId="82" applyNumberFormat="1" applyFont="1" applyAlignment="1">
      <alignment horizontal="center" vertical="center" wrapText="1"/>
      <protection/>
    </xf>
    <xf numFmtId="0" fontId="8" fillId="47" borderId="19" xfId="80" applyFont="1" applyFill="1" applyBorder="1" applyAlignment="1">
      <alignment horizontal="center" vertical="center" wrapText="1"/>
      <protection/>
    </xf>
    <xf numFmtId="0" fontId="8" fillId="11" borderId="19" xfId="82" applyFont="1" applyFill="1" applyBorder="1" applyAlignment="1">
      <alignment horizontal="center" vertical="center" wrapText="1"/>
      <protection/>
    </xf>
    <xf numFmtId="0" fontId="8" fillId="47" borderId="19" xfId="82" applyFont="1" applyFill="1" applyBorder="1" applyAlignment="1">
      <alignment horizontal="center" vertical="center" wrapText="1"/>
      <protection/>
    </xf>
    <xf numFmtId="0" fontId="8" fillId="55" borderId="22" xfId="82" applyFont="1" applyFill="1" applyBorder="1" applyAlignment="1">
      <alignment horizontal="center" vertical="center" wrapText="1"/>
      <protection/>
    </xf>
    <xf numFmtId="0" fontId="8" fillId="55" borderId="24" xfId="82" applyFont="1" applyFill="1" applyBorder="1" applyAlignment="1">
      <alignment horizontal="center" vertical="center" wrapText="1"/>
      <protection/>
    </xf>
    <xf numFmtId="0" fontId="8" fillId="0" borderId="19" xfId="80" applyFont="1" applyFill="1" applyBorder="1" applyAlignment="1">
      <alignment horizontal="center" vertical="center" wrapText="1"/>
      <protection/>
    </xf>
    <xf numFmtId="1" fontId="8" fillId="0" borderId="22" xfId="82" applyNumberFormat="1" applyFont="1" applyFill="1" applyBorder="1" applyAlignment="1">
      <alignment horizontal="center" vertical="center" wrapText="1"/>
      <protection/>
    </xf>
    <xf numFmtId="4" fontId="8" fillId="0" borderId="19" xfId="80" applyNumberFormat="1" applyFont="1" applyFill="1" applyBorder="1" applyAlignment="1">
      <alignment horizontal="center" vertical="center" wrapText="1"/>
      <protection/>
    </xf>
    <xf numFmtId="2" fontId="8" fillId="0" borderId="19" xfId="80" applyNumberFormat="1" applyFont="1" applyFill="1" applyBorder="1" applyAlignment="1">
      <alignment horizontal="center" vertical="center" wrapText="1"/>
      <protection/>
    </xf>
    <xf numFmtId="1" fontId="8" fillId="47" borderId="19" xfId="80" applyNumberFormat="1" applyFont="1" applyFill="1" applyBorder="1" applyAlignment="1">
      <alignment horizontal="center" vertical="center" wrapText="1"/>
      <protection/>
    </xf>
    <xf numFmtId="1" fontId="8" fillId="47" borderId="24" xfId="82" applyNumberFormat="1" applyFont="1" applyFill="1" applyBorder="1" applyAlignment="1">
      <alignment horizontal="center" vertical="center" wrapText="1"/>
      <protection/>
    </xf>
    <xf numFmtId="4" fontId="8" fillId="47" borderId="19" xfId="82" applyNumberFormat="1" applyFont="1" applyFill="1" applyBorder="1" applyAlignment="1">
      <alignment horizontal="center" vertical="center" wrapText="1"/>
      <protection/>
    </xf>
    <xf numFmtId="4" fontId="8" fillId="0" borderId="21" xfId="82" applyNumberFormat="1" applyFont="1" applyFill="1" applyBorder="1" applyAlignment="1">
      <alignment horizontal="center" vertical="center" wrapText="1"/>
      <protection/>
    </xf>
    <xf numFmtId="2" fontId="8" fillId="0" borderId="21" xfId="82" applyNumberFormat="1" applyFont="1" applyFill="1" applyBorder="1" applyAlignment="1">
      <alignment horizontal="center" vertical="center" wrapText="1"/>
      <protection/>
    </xf>
    <xf numFmtId="4" fontId="8" fillId="0" borderId="22" xfId="82" applyNumberFormat="1" applyFont="1" applyFill="1" applyBorder="1" applyAlignment="1">
      <alignment horizontal="center" vertical="center" wrapText="1"/>
      <protection/>
    </xf>
    <xf numFmtId="4" fontId="8" fillId="0" borderId="24" xfId="82" applyNumberFormat="1" applyFont="1" applyFill="1" applyBorder="1" applyAlignment="1">
      <alignment horizontal="center" vertical="center" wrapText="1"/>
      <protection/>
    </xf>
    <xf numFmtId="2" fontId="8" fillId="0" borderId="24" xfId="82" applyNumberFormat="1" applyFont="1" applyFill="1" applyBorder="1" applyAlignment="1">
      <alignment horizontal="center" vertical="center" wrapText="1"/>
      <protection/>
    </xf>
    <xf numFmtId="1" fontId="8" fillId="47" borderId="22" xfId="82" applyNumberFormat="1" applyFont="1" applyFill="1" applyBorder="1" applyAlignment="1">
      <alignment horizontal="center" vertical="center" wrapText="1"/>
      <protection/>
    </xf>
    <xf numFmtId="4" fontId="8" fillId="47" borderId="19" xfId="80" applyNumberFormat="1" applyFont="1" applyFill="1" applyBorder="1" applyAlignment="1">
      <alignment horizontal="center" vertical="center" wrapText="1"/>
      <protection/>
    </xf>
    <xf numFmtId="4" fontId="8" fillId="0" borderId="21" xfId="80" applyNumberFormat="1" applyFont="1" applyFill="1" applyBorder="1" applyAlignment="1">
      <alignment horizontal="center" vertical="center" wrapText="1"/>
      <protection/>
    </xf>
    <xf numFmtId="2" fontId="8" fillId="10" borderId="24" xfId="82" applyNumberFormat="1" applyFont="1" applyFill="1" applyBorder="1" applyAlignment="1">
      <alignment horizontal="center" vertical="center" wrapText="1"/>
      <protection/>
    </xf>
    <xf numFmtId="1" fontId="8" fillId="49" borderId="27" xfId="82" applyNumberFormat="1" applyFont="1" applyFill="1" applyBorder="1" applyAlignment="1">
      <alignment horizontal="left" vertical="center" wrapText="1"/>
      <protection/>
    </xf>
    <xf numFmtId="2" fontId="8" fillId="0" borderId="0" xfId="82" applyNumberFormat="1" applyFont="1" applyFill="1" applyBorder="1" applyAlignment="1">
      <alignment horizontal="left" vertical="center" wrapText="1"/>
      <protection/>
    </xf>
    <xf numFmtId="1" fontId="8" fillId="49" borderId="26" xfId="82" applyNumberFormat="1" applyFont="1" applyFill="1" applyBorder="1" applyAlignment="1">
      <alignment horizontal="left" vertical="center" wrapText="1"/>
      <protection/>
    </xf>
    <xf numFmtId="1" fontId="8" fillId="0" borderId="0" xfId="82" applyNumberFormat="1" applyFont="1" applyFill="1" applyBorder="1" applyAlignment="1">
      <alignment horizontal="center" vertical="center" wrapText="1"/>
      <protection/>
    </xf>
    <xf numFmtId="0" fontId="8" fillId="0" borderId="22" xfId="80" applyFont="1" applyFill="1" applyBorder="1" applyAlignment="1">
      <alignment horizontal="left" vertical="center" wrapText="1"/>
      <protection/>
    </xf>
    <xf numFmtId="0" fontId="10" fillId="0" borderId="0" xfId="80" applyFont="1" applyFill="1" applyAlignment="1">
      <alignment vertical="center"/>
      <protection/>
    </xf>
    <xf numFmtId="0" fontId="10" fillId="0" borderId="0" xfId="80" applyFont="1" applyFill="1" applyAlignment="1">
      <alignment vertical="center" wrapText="1"/>
      <protection/>
    </xf>
    <xf numFmtId="0" fontId="8" fillId="0" borderId="22" xfId="80" applyFont="1" applyFill="1" applyBorder="1" applyAlignment="1">
      <alignment horizontal="center" vertical="center" wrapText="1"/>
      <protection/>
    </xf>
    <xf numFmtId="4" fontId="8" fillId="0" borderId="24" xfId="80" applyNumberFormat="1" applyFont="1" applyFill="1" applyBorder="1" applyAlignment="1">
      <alignment horizontal="center" vertical="center" wrapText="1"/>
      <protection/>
    </xf>
    <xf numFmtId="0" fontId="8" fillId="0" borderId="24" xfId="80" applyFont="1" applyFill="1" applyBorder="1" applyAlignment="1">
      <alignment horizontal="center" vertical="center" wrapText="1"/>
      <protection/>
    </xf>
    <xf numFmtId="0" fontId="8" fillId="0" borderId="24" xfId="80" applyFont="1" applyFill="1" applyBorder="1" applyAlignment="1">
      <alignment vertical="center" wrapText="1"/>
      <protection/>
    </xf>
    <xf numFmtId="0" fontId="8" fillId="0" borderId="22" xfId="80" applyFont="1" applyFill="1" applyBorder="1" applyAlignment="1">
      <alignment vertical="center" wrapText="1"/>
      <protection/>
    </xf>
    <xf numFmtId="0" fontId="9" fillId="0" borderId="22" xfId="80" applyFont="1" applyFill="1" applyBorder="1" applyAlignment="1">
      <alignment horizontal="center" vertical="center" wrapText="1"/>
      <protection/>
    </xf>
    <xf numFmtId="0" fontId="11" fillId="0" borderId="0" xfId="80" applyFont="1" applyFill="1" applyAlignment="1">
      <alignment vertical="center"/>
      <protection/>
    </xf>
    <xf numFmtId="0" fontId="8" fillId="55" borderId="30" xfId="82" applyFont="1" applyFill="1" applyBorder="1" applyAlignment="1">
      <alignment horizontal="center" vertical="center" wrapText="1"/>
      <protection/>
    </xf>
    <xf numFmtId="0" fontId="8" fillId="0" borderId="31" xfId="82" applyFont="1" applyFill="1" applyBorder="1" applyAlignment="1">
      <alignment horizontal="center" vertical="center"/>
      <protection/>
    </xf>
    <xf numFmtId="0" fontId="8" fillId="0" borderId="31" xfId="82" applyFont="1" applyFill="1" applyBorder="1" applyAlignment="1">
      <alignment horizontal="center" vertical="center" wrapText="1"/>
      <protection/>
    </xf>
    <xf numFmtId="0" fontId="8" fillId="0" borderId="31" xfId="82" applyFont="1" applyBorder="1" applyAlignment="1">
      <alignment horizontal="center" vertical="center" wrapText="1"/>
      <protection/>
    </xf>
    <xf numFmtId="0" fontId="8" fillId="10" borderId="21" xfId="80" applyFont="1" applyFill="1" applyBorder="1" applyAlignment="1">
      <alignment horizontal="center" vertical="center" wrapText="1"/>
      <protection/>
    </xf>
    <xf numFmtId="0" fontId="8" fillId="10" borderId="19" xfId="80" applyFont="1" applyFill="1" applyBorder="1" applyAlignment="1">
      <alignment horizontal="center" vertical="center" wrapText="1"/>
      <protection/>
    </xf>
    <xf numFmtId="4" fontId="8" fillId="10" borderId="32" xfId="80" applyNumberFormat="1" applyFont="1" applyFill="1" applyBorder="1" applyAlignment="1">
      <alignment horizontal="center" vertical="center" wrapText="1"/>
      <protection/>
    </xf>
    <xf numFmtId="4" fontId="8" fillId="47" borderId="23" xfId="80" applyNumberFormat="1" applyFont="1" applyFill="1" applyBorder="1" applyAlignment="1">
      <alignment horizontal="center" vertical="center" wrapText="1"/>
      <protection/>
    </xf>
    <xf numFmtId="2" fontId="8" fillId="0" borderId="33" xfId="80" applyNumberFormat="1" applyFont="1" applyFill="1" applyBorder="1" applyAlignment="1">
      <alignment horizontal="center" vertical="center" wrapText="1"/>
      <protection/>
    </xf>
    <xf numFmtId="1" fontId="87" fillId="48" borderId="19" xfId="82" applyNumberFormat="1" applyFont="1" applyFill="1" applyBorder="1" applyAlignment="1">
      <alignment horizontal="center" vertical="center" wrapText="1"/>
      <protection/>
    </xf>
    <xf numFmtId="0" fontId="87" fillId="0" borderId="0" xfId="82" applyFont="1" applyFill="1" applyBorder="1" applyAlignment="1">
      <alignment horizontal="center" vertical="center"/>
      <protection/>
    </xf>
    <xf numFmtId="0" fontId="87" fillId="0" borderId="0" xfId="82" applyFont="1" applyFill="1" applyBorder="1" applyAlignment="1">
      <alignment horizontal="center" vertical="center" wrapText="1"/>
      <protection/>
    </xf>
    <xf numFmtId="0" fontId="87" fillId="0" borderId="0" xfId="82" applyFont="1" applyAlignment="1">
      <alignment horizontal="center" vertical="center" wrapText="1"/>
      <protection/>
    </xf>
    <xf numFmtId="0" fontId="8" fillId="0" borderId="0" xfId="82" applyFont="1" applyBorder="1" applyAlignment="1">
      <alignment horizontal="center" vertical="center" wrapText="1"/>
      <protection/>
    </xf>
    <xf numFmtId="0" fontId="88" fillId="0" borderId="0" xfId="0" applyFont="1" applyAlignment="1">
      <alignment/>
    </xf>
    <xf numFmtId="0" fontId="88" fillId="0" borderId="0" xfId="0" applyFont="1" applyBorder="1" applyAlignment="1">
      <alignment/>
    </xf>
    <xf numFmtId="43" fontId="88" fillId="0" borderId="0" xfId="60" applyFont="1" applyAlignment="1">
      <alignment/>
    </xf>
    <xf numFmtId="2" fontId="88" fillId="0" borderId="0" xfId="0" applyNumberFormat="1" applyFont="1" applyAlignment="1">
      <alignment/>
    </xf>
    <xf numFmtId="0" fontId="88" fillId="0" borderId="0" xfId="0" applyFont="1" applyAlignment="1">
      <alignment horizontal="center"/>
    </xf>
    <xf numFmtId="2" fontId="89" fillId="0" borderId="0" xfId="0" applyNumberFormat="1" applyFont="1" applyBorder="1" applyAlignment="1" applyProtection="1">
      <alignment horizontal="left" vertical="center"/>
      <protection locked="0"/>
    </xf>
    <xf numFmtId="2" fontId="88" fillId="0" borderId="0" xfId="0" applyNumberFormat="1" applyFont="1" applyBorder="1" applyAlignment="1" applyProtection="1">
      <alignment horizontal="left" vertical="center"/>
      <protection locked="0"/>
    </xf>
    <xf numFmtId="2" fontId="9" fillId="0" borderId="22" xfId="82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2" fontId="33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7" fillId="56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left" vertical="top" wrapText="1" indent="1"/>
      <protection/>
    </xf>
    <xf numFmtId="0" fontId="6" fillId="0" borderId="19" xfId="0" applyFont="1" applyBorder="1" applyAlignment="1" applyProtection="1">
      <alignment horizontal="left" vertical="center" wrapText="1" indent="1"/>
      <protection/>
    </xf>
    <xf numFmtId="4" fontId="6" fillId="0" borderId="19" xfId="0" applyNumberFormat="1" applyFont="1" applyBorder="1" applyAlignment="1" applyProtection="1">
      <alignment horizontal="center" vertical="center" shrinkToFit="1"/>
      <protection/>
    </xf>
    <xf numFmtId="2" fontId="6" fillId="0" borderId="19" xfId="0" applyNumberFormat="1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3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78" applyFont="1" applyProtection="1">
      <alignment/>
      <protection/>
    </xf>
    <xf numFmtId="0" fontId="6" fillId="0" borderId="0" xfId="78" applyFont="1" applyProtection="1">
      <alignment/>
      <protection/>
    </xf>
    <xf numFmtId="0" fontId="6" fillId="0" borderId="0" xfId="78" applyFont="1">
      <alignment/>
      <protection/>
    </xf>
    <xf numFmtId="0" fontId="90" fillId="0" borderId="0" xfId="78" applyFont="1" applyProtection="1">
      <alignment/>
      <protection/>
    </xf>
    <xf numFmtId="0" fontId="90" fillId="0" borderId="0" xfId="78" applyFont="1">
      <alignment/>
      <protection/>
    </xf>
    <xf numFmtId="0" fontId="6" fillId="0" borderId="19" xfId="78" applyFont="1" applyBorder="1" applyAlignment="1" applyProtection="1">
      <alignment horizontal="center" vertical="center"/>
      <protection/>
    </xf>
    <xf numFmtId="0" fontId="6" fillId="0" borderId="19" xfId="78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/>
      <protection/>
    </xf>
    <xf numFmtId="214" fontId="6" fillId="0" borderId="0" xfId="0" applyNumberFormat="1" applyFont="1" applyAlignment="1">
      <alignment/>
    </xf>
    <xf numFmtId="0" fontId="7" fillId="0" borderId="19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/>
      <protection/>
    </xf>
    <xf numFmtId="4" fontId="6" fillId="0" borderId="0" xfId="0" applyNumberFormat="1" applyFont="1" applyAlignment="1">
      <alignment/>
    </xf>
    <xf numFmtId="218" fontId="6" fillId="0" borderId="0" xfId="0" applyNumberFormat="1" applyFont="1" applyAlignment="1">
      <alignment/>
    </xf>
    <xf numFmtId="2" fontId="6" fillId="0" borderId="19" xfId="0" applyNumberFormat="1" applyFont="1" applyBorder="1" applyAlignment="1" applyProtection="1" quotePrefix="1">
      <alignment horizontal="center" vertical="top"/>
      <protection/>
    </xf>
    <xf numFmtId="0" fontId="6" fillId="0" borderId="0" xfId="0" applyFont="1" applyAlignment="1">
      <alignment vertical="top"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3" fillId="0" borderId="0" xfId="78" applyFont="1" applyProtection="1">
      <alignment/>
      <protection/>
    </xf>
    <xf numFmtId="0" fontId="7" fillId="0" borderId="19" xfId="78" applyFont="1" applyBorder="1" applyAlignment="1" applyProtection="1">
      <alignment horizontal="center" vertical="center"/>
      <protection/>
    </xf>
    <xf numFmtId="4" fontId="8" fillId="10" borderId="19" xfId="80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 quotePrefix="1">
      <alignment horizontal="center" vertical="top"/>
      <protection/>
    </xf>
    <xf numFmtId="2" fontId="6" fillId="0" borderId="21" xfId="0" applyNumberFormat="1" applyFont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6" fillId="0" borderId="19" xfId="0" applyFont="1" applyBorder="1" applyAlignment="1" applyProtection="1">
      <alignment horizontal="left" vertical="top" wrapText="1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8" fillId="49" borderId="19" xfId="82" applyFont="1" applyFill="1" applyBorder="1" applyAlignment="1">
      <alignment horizontal="left" vertical="center" wrapText="1"/>
      <protection/>
    </xf>
    <xf numFmtId="0" fontId="8" fillId="10" borderId="24" xfId="82" applyFont="1" applyFill="1" applyBorder="1" applyAlignment="1">
      <alignment horizontal="right" vertical="center" wrapText="1"/>
      <protection/>
    </xf>
    <xf numFmtId="0" fontId="8" fillId="55" borderId="22" xfId="82" applyFont="1" applyFill="1" applyBorder="1" applyAlignment="1">
      <alignment horizontal="right" vertical="center" wrapText="1"/>
      <protection/>
    </xf>
    <xf numFmtId="0" fontId="8" fillId="0" borderId="24" xfId="82" applyFont="1" applyFill="1" applyBorder="1" applyAlignment="1">
      <alignment horizontal="center" vertical="center" wrapText="1"/>
      <protection/>
    </xf>
    <xf numFmtId="0" fontId="91" fillId="0" borderId="0" xfId="82" applyFont="1" applyFill="1" applyAlignment="1">
      <alignment horizontal="center" vertical="center" wrapText="1"/>
      <protection/>
    </xf>
    <xf numFmtId="0" fontId="9" fillId="49" borderId="27" xfId="82" applyFont="1" applyFill="1" applyBorder="1" applyAlignment="1">
      <alignment horizontal="left" vertical="center" wrapText="1"/>
      <protection/>
    </xf>
    <xf numFmtId="2" fontId="6" fillId="0" borderId="19" xfId="0" applyNumberFormat="1" applyFont="1" applyBorder="1" applyAlignment="1" applyProtection="1">
      <alignment horizontal="center" vertical="top" shrinkToFit="1"/>
      <protection/>
    </xf>
    <xf numFmtId="0" fontId="6" fillId="0" borderId="19" xfId="78" applyFont="1" applyBorder="1" applyAlignment="1" applyProtection="1">
      <alignment horizontal="left" vertical="center"/>
      <protection/>
    </xf>
    <xf numFmtId="214" fontId="6" fillId="0" borderId="19" xfId="0" applyNumberFormat="1" applyFont="1" applyBorder="1" applyAlignment="1" applyProtection="1" quotePrefix="1">
      <alignment horizontal="center" vertical="center"/>
      <protection/>
    </xf>
    <xf numFmtId="2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horizontal="center" vertical="center"/>
      <protection/>
    </xf>
    <xf numFmtId="2" fontId="6" fillId="0" borderId="19" xfId="0" applyNumberFormat="1" applyFont="1" applyBorder="1" applyAlignment="1" applyProtection="1" quotePrefix="1">
      <alignment horizontal="center" vertical="center"/>
      <protection/>
    </xf>
    <xf numFmtId="0" fontId="6" fillId="0" borderId="19" xfId="78" applyFont="1" applyBorder="1" applyAlignment="1" applyProtection="1">
      <alignment horizontal="left" vertical="top" wrapText="1"/>
      <protection/>
    </xf>
    <xf numFmtId="0" fontId="6" fillId="0" borderId="19" xfId="78" applyFont="1" applyBorder="1" applyAlignment="1" applyProtection="1">
      <alignment horizontal="left" vertical="top"/>
      <protection/>
    </xf>
    <xf numFmtId="0" fontId="92" fillId="0" borderId="0" xfId="78" applyFont="1" applyProtection="1">
      <alignment/>
      <protection/>
    </xf>
    <xf numFmtId="2" fontId="92" fillId="0" borderId="0" xfId="0" applyNumberFormat="1" applyFont="1" applyAlignment="1">
      <alignment/>
    </xf>
    <xf numFmtId="0" fontId="92" fillId="0" borderId="0" xfId="0" applyFont="1" applyAlignment="1">
      <alignment/>
    </xf>
    <xf numFmtId="218" fontId="92" fillId="0" borderId="0" xfId="0" applyNumberFormat="1" applyFont="1" applyAlignment="1">
      <alignment/>
    </xf>
    <xf numFmtId="0" fontId="93" fillId="0" borderId="19" xfId="78" applyFont="1" applyBorder="1" applyAlignment="1" applyProtection="1">
      <alignment horizontal="center" vertical="center"/>
      <protection/>
    </xf>
    <xf numFmtId="2" fontId="6" fillId="0" borderId="0" xfId="60" applyNumberFormat="1" applyFont="1" applyAlignment="1">
      <alignment horizontal="center" vertical="top"/>
    </xf>
    <xf numFmtId="0" fontId="9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90" fillId="0" borderId="0" xfId="0" applyFont="1" applyAlignment="1" applyProtection="1">
      <alignment vertical="center"/>
      <protection/>
    </xf>
    <xf numFmtId="0" fontId="8" fillId="55" borderId="22" xfId="82" applyFont="1" applyFill="1" applyBorder="1" applyAlignment="1">
      <alignment horizontal="left" vertical="center" wrapText="1"/>
      <protection/>
    </xf>
    <xf numFmtId="0" fontId="8" fillId="55" borderId="19" xfId="82" applyFont="1" applyFill="1" applyBorder="1" applyAlignment="1">
      <alignment horizontal="left" vertical="top" wrapText="1"/>
      <protection/>
    </xf>
    <xf numFmtId="0" fontId="8" fillId="0" borderId="19" xfId="80" applyFont="1" applyFill="1" applyBorder="1" applyAlignment="1">
      <alignment vertical="top" wrapText="1"/>
      <protection/>
    </xf>
    <xf numFmtId="0" fontId="8" fillId="0" borderId="21" xfId="80" applyFont="1" applyFill="1" applyBorder="1" applyAlignment="1">
      <alignment horizontal="left" vertical="center" wrapText="1"/>
      <protection/>
    </xf>
    <xf numFmtId="0" fontId="8" fillId="0" borderId="24" xfId="80" applyFont="1" applyFill="1" applyBorder="1" applyAlignment="1">
      <alignment horizontal="left" vertical="center" wrapText="1"/>
      <protection/>
    </xf>
    <xf numFmtId="0" fontId="8" fillId="0" borderId="21" xfId="80" applyFont="1" applyFill="1" applyBorder="1" applyAlignment="1">
      <alignment vertical="center" wrapText="1"/>
      <protection/>
    </xf>
    <xf numFmtId="0" fontId="8" fillId="55" borderId="19" xfId="82" applyFont="1" applyFill="1" applyBorder="1" applyAlignment="1">
      <alignment horizontal="left" vertical="center" wrapText="1"/>
      <protection/>
    </xf>
    <xf numFmtId="0" fontId="8" fillId="0" borderId="19" xfId="82" applyFont="1" applyFill="1" applyBorder="1" applyAlignment="1">
      <alignment horizontal="left" vertical="top" wrapText="1"/>
      <protection/>
    </xf>
    <xf numFmtId="1" fontId="9" fillId="0" borderId="0" xfId="82" applyNumberFormat="1" applyFont="1" applyFill="1" applyAlignment="1">
      <alignment horizontal="center" vertical="center" wrapText="1"/>
      <protection/>
    </xf>
    <xf numFmtId="4" fontId="8" fillId="49" borderId="26" xfId="82" applyNumberFormat="1" applyFont="1" applyFill="1" applyBorder="1" applyAlignment="1">
      <alignment horizontal="left" vertical="center" wrapText="1"/>
      <protection/>
    </xf>
    <xf numFmtId="4" fontId="8" fillId="11" borderId="19" xfId="82" applyNumberFormat="1" applyFont="1" applyFill="1" applyBorder="1" applyAlignment="1">
      <alignment horizontal="center" vertical="center" wrapText="1"/>
      <protection/>
    </xf>
    <xf numFmtId="4" fontId="8" fillId="57" borderId="24" xfId="82" applyNumberFormat="1" applyFont="1" applyFill="1" applyBorder="1" applyAlignment="1">
      <alignment horizontal="center" vertical="center" wrapText="1"/>
      <protection/>
    </xf>
    <xf numFmtId="0" fontId="8" fillId="57" borderId="24" xfId="82" applyFont="1" applyFill="1" applyBorder="1" applyAlignment="1">
      <alignment horizontal="center" vertical="center" wrapText="1"/>
      <protection/>
    </xf>
    <xf numFmtId="4" fontId="8" fillId="47" borderId="27" xfId="80" applyNumberFormat="1" applyFont="1" applyFill="1" applyBorder="1" applyAlignment="1">
      <alignment horizontal="center" vertical="center" wrapText="1"/>
      <protection/>
    </xf>
    <xf numFmtId="2" fontId="8" fillId="0" borderId="24" xfId="80" applyNumberFormat="1" applyFont="1" applyFill="1" applyBorder="1" applyAlignment="1">
      <alignment horizontal="center" vertical="center" wrapText="1"/>
      <protection/>
    </xf>
    <xf numFmtId="4" fontId="8" fillId="49" borderId="27" xfId="82" applyNumberFormat="1" applyFont="1" applyFill="1" applyBorder="1" applyAlignment="1">
      <alignment horizontal="left" vertical="center" wrapText="1"/>
      <protection/>
    </xf>
    <xf numFmtId="4" fontId="8" fillId="57" borderId="19" xfId="82" applyNumberFormat="1" applyFont="1" applyFill="1" applyBorder="1" applyAlignment="1">
      <alignment horizontal="center" vertical="center" wrapText="1"/>
      <protection/>
    </xf>
    <xf numFmtId="2" fontId="8" fillId="57" borderId="19" xfId="82" applyNumberFormat="1" applyFont="1" applyFill="1" applyBorder="1" applyAlignment="1">
      <alignment horizontal="center" vertical="center" wrapText="1"/>
      <protection/>
    </xf>
    <xf numFmtId="1" fontId="8" fillId="57" borderId="19" xfId="82" applyNumberFormat="1" applyFont="1" applyFill="1" applyBorder="1" applyAlignment="1">
      <alignment horizontal="center" vertical="center" wrapText="1"/>
      <protection/>
    </xf>
    <xf numFmtId="3" fontId="8" fillId="0" borderId="22" xfId="82" applyNumberFormat="1" applyFont="1" applyFill="1" applyBorder="1" applyAlignment="1">
      <alignment horizontal="center" vertical="center" wrapText="1"/>
      <protection/>
    </xf>
    <xf numFmtId="1" fontId="8" fillId="47" borderId="30" xfId="82" applyNumberFormat="1" applyFont="1" applyFill="1" applyBorder="1" applyAlignment="1">
      <alignment horizontal="center" vertical="center" wrapText="1"/>
      <protection/>
    </xf>
    <xf numFmtId="4" fontId="8" fillId="0" borderId="22" xfId="80" applyNumberFormat="1" applyFont="1" applyFill="1" applyBorder="1" applyAlignment="1">
      <alignment horizontal="center" vertical="center" wrapText="1"/>
      <protection/>
    </xf>
    <xf numFmtId="2" fontId="8" fillId="0" borderId="30" xfId="80" applyNumberFormat="1" applyFont="1" applyFill="1" applyBorder="1" applyAlignment="1">
      <alignment horizontal="center" vertical="center" wrapText="1"/>
      <protection/>
    </xf>
    <xf numFmtId="4" fontId="8" fillId="0" borderId="0" xfId="82" applyNumberFormat="1" applyFont="1" applyFill="1" applyBorder="1" applyAlignment="1">
      <alignment horizontal="center" vertical="center" wrapText="1"/>
      <protection/>
    </xf>
    <xf numFmtId="0" fontId="8" fillId="47" borderId="22" xfId="82" applyFont="1" applyFill="1" applyBorder="1" applyAlignment="1">
      <alignment horizontal="center" vertical="center" wrapText="1"/>
      <protection/>
    </xf>
    <xf numFmtId="0" fontId="8" fillId="57" borderId="19" xfId="82" applyFont="1" applyFill="1" applyBorder="1" applyAlignment="1">
      <alignment horizontal="center" vertical="center" wrapText="1"/>
      <protection/>
    </xf>
    <xf numFmtId="0" fontId="8" fillId="47" borderId="19" xfId="80" applyFont="1" applyFill="1" applyBorder="1" applyAlignment="1">
      <alignment horizontal="center" vertical="top" wrapText="1"/>
      <protection/>
    </xf>
    <xf numFmtId="0" fontId="94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23" xfId="0" applyFont="1" applyBorder="1" applyAlignment="1">
      <alignment horizontal="left" vertical="top" wrapText="1" indent="1"/>
    </xf>
    <xf numFmtId="1" fontId="39" fillId="0" borderId="23" xfId="0" applyNumberFormat="1" applyFont="1" applyBorder="1" applyAlignment="1" applyProtection="1">
      <alignment vertical="top" shrinkToFit="1"/>
      <protection locked="0"/>
    </xf>
    <xf numFmtId="234" fontId="39" fillId="0" borderId="34" xfId="0" applyNumberFormat="1" applyFont="1" applyBorder="1" applyAlignment="1">
      <alignment horizontal="center" vertical="center"/>
    </xf>
    <xf numFmtId="0" fontId="39" fillId="0" borderId="19" xfId="0" applyFont="1" applyBorder="1" applyAlignment="1" applyProtection="1">
      <alignment horizontal="center" vertical="top" shrinkToFit="1"/>
      <protection locked="0"/>
    </xf>
    <xf numFmtId="234" fontId="39" fillId="0" borderId="19" xfId="0" applyNumberFormat="1" applyFont="1" applyBorder="1" applyAlignment="1" applyProtection="1">
      <alignment horizontal="center" vertical="top" shrinkToFit="1"/>
      <protection locked="0"/>
    </xf>
    <xf numFmtId="4" fontId="39" fillId="0" borderId="19" xfId="0" applyNumberFormat="1" applyFont="1" applyBorder="1" applyAlignment="1" applyProtection="1">
      <alignment horizontal="center" vertical="center" shrinkToFit="1"/>
      <protection locked="0"/>
    </xf>
    <xf numFmtId="0" fontId="38" fillId="0" borderId="22" xfId="0" applyFont="1" applyBorder="1" applyAlignment="1">
      <alignment vertical="top" wrapText="1"/>
    </xf>
    <xf numFmtId="2" fontId="38" fillId="54" borderId="22" xfId="0" applyNumberFormat="1" applyFont="1" applyFill="1" applyBorder="1" applyAlignment="1">
      <alignment horizontal="center" vertical="top" wrapText="1"/>
    </xf>
    <xf numFmtId="2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2" fontId="8" fillId="0" borderId="0" xfId="82" applyNumberFormat="1" applyFont="1" applyFill="1" applyBorder="1" applyAlignment="1">
      <alignment horizontal="left" vertical="center"/>
      <protection/>
    </xf>
    <xf numFmtId="0" fontId="39" fillId="0" borderId="0" xfId="0" applyFont="1" applyAlignment="1">
      <alignment vertical="center"/>
    </xf>
    <xf numFmtId="0" fontId="90" fillId="0" borderId="0" xfId="0" applyFont="1" applyAlignment="1">
      <alignment/>
    </xf>
    <xf numFmtId="0" fontId="41" fillId="0" borderId="0" xfId="0" applyFont="1" applyAlignment="1">
      <alignment/>
    </xf>
    <xf numFmtId="0" fontId="6" fillId="56" borderId="19" xfId="0" applyFont="1" applyFill="1" applyBorder="1" applyAlignment="1">
      <alignment horizontal="center" vertical="center" wrapText="1"/>
    </xf>
    <xf numFmtId="0" fontId="6" fillId="56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" fontId="6" fillId="0" borderId="19" xfId="0" applyNumberFormat="1" applyFont="1" applyBorder="1" applyAlignment="1" applyProtection="1">
      <alignment horizontal="center" vertical="center" shrinkToFit="1"/>
      <protection locked="0"/>
    </xf>
    <xf numFmtId="4" fontId="6" fillId="0" borderId="19" xfId="0" applyNumberFormat="1" applyFont="1" applyBorder="1" applyAlignment="1" applyProtection="1" quotePrefix="1">
      <alignment horizontal="center" vertical="center" shrinkToFit="1"/>
      <protection locked="0"/>
    </xf>
    <xf numFmtId="2" fontId="7" fillId="54" borderId="22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9" fontId="6" fillId="0" borderId="19" xfId="89" applyFont="1" applyBorder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43" fontId="36" fillId="0" borderId="0" xfId="60" applyFont="1" applyAlignment="1">
      <alignment horizontal="center" vertical="center"/>
    </xf>
    <xf numFmtId="0" fontId="38" fillId="0" borderId="0" xfId="0" applyFont="1" applyAlignment="1">
      <alignment vertical="center"/>
    </xf>
    <xf numFmtId="1" fontId="9" fillId="0" borderId="0" xfId="82" applyNumberFormat="1" applyFont="1" applyFill="1" applyAlignment="1">
      <alignment horizontal="left" vertical="center"/>
      <protection/>
    </xf>
    <xf numFmtId="1" fontId="44" fillId="0" borderId="0" xfId="82" applyNumberFormat="1" applyFont="1" applyFill="1" applyAlignment="1">
      <alignment horizontal="left" vertical="center"/>
      <protection/>
    </xf>
    <xf numFmtId="0" fontId="8" fillId="0" borderId="21" xfId="82" applyFont="1" applyFill="1" applyBorder="1" applyAlignment="1">
      <alignment horizontal="center" vertical="center" wrapText="1"/>
      <protection/>
    </xf>
    <xf numFmtId="4" fontId="8" fillId="58" borderId="28" xfId="82" applyNumberFormat="1" applyFont="1" applyFill="1" applyBorder="1" applyAlignment="1">
      <alignment horizontal="left" vertical="center" wrapText="1"/>
      <protection/>
    </xf>
    <xf numFmtId="0" fontId="8" fillId="58" borderId="28" xfId="82" applyFont="1" applyFill="1" applyBorder="1" applyAlignment="1">
      <alignment horizontal="left" vertical="center" wrapText="1"/>
      <protection/>
    </xf>
    <xf numFmtId="1" fontId="8" fillId="58" borderId="28" xfId="82" applyNumberFormat="1" applyFont="1" applyFill="1" applyBorder="1" applyAlignment="1">
      <alignment horizontal="left" vertical="center" wrapText="1"/>
      <protection/>
    </xf>
    <xf numFmtId="1" fontId="8" fillId="58" borderId="35" xfId="82" applyNumberFormat="1" applyFont="1" applyFill="1" applyBorder="1" applyAlignment="1">
      <alignment horizontal="left" vertical="center" wrapText="1"/>
      <protection/>
    </xf>
    <xf numFmtId="0" fontId="8" fillId="58" borderId="27" xfId="82" applyFont="1" applyFill="1" applyBorder="1" applyAlignment="1">
      <alignment horizontal="center" vertical="center" wrapText="1"/>
      <protection/>
    </xf>
    <xf numFmtId="4" fontId="8" fillId="58" borderId="27" xfId="82" applyNumberFormat="1" applyFont="1" applyFill="1" applyBorder="1" applyAlignment="1">
      <alignment horizontal="center" vertical="center" wrapText="1"/>
      <protection/>
    </xf>
    <xf numFmtId="1" fontId="8" fillId="58" borderId="27" xfId="82" applyNumberFormat="1" applyFont="1" applyFill="1" applyBorder="1" applyAlignment="1">
      <alignment horizontal="center" vertical="center" wrapText="1"/>
      <protection/>
    </xf>
    <xf numFmtId="1" fontId="8" fillId="58" borderId="30" xfId="82" applyNumberFormat="1" applyFont="1" applyFill="1" applyBorder="1" applyAlignment="1">
      <alignment horizontal="center" vertical="center" wrapText="1"/>
      <protection/>
    </xf>
    <xf numFmtId="4" fontId="87" fillId="0" borderId="19" xfId="80" applyNumberFormat="1" applyFont="1" applyFill="1" applyBorder="1" applyAlignment="1">
      <alignment horizontal="center" vertical="center" wrapText="1"/>
      <protection/>
    </xf>
    <xf numFmtId="1" fontId="87" fillId="0" borderId="19" xfId="82" applyNumberFormat="1" applyFont="1" applyFill="1" applyBorder="1" applyAlignment="1">
      <alignment horizontal="center" vertical="center" wrapText="1"/>
      <protection/>
    </xf>
    <xf numFmtId="1" fontId="87" fillId="47" borderId="19" xfId="80" applyNumberFormat="1" applyFont="1" applyFill="1" applyBorder="1" applyAlignment="1">
      <alignment horizontal="center" vertical="center" wrapText="1"/>
      <protection/>
    </xf>
    <xf numFmtId="1" fontId="87" fillId="0" borderId="19" xfId="80" applyNumberFormat="1" applyFont="1" applyFill="1" applyBorder="1" applyAlignment="1">
      <alignment horizontal="center" vertical="center" wrapText="1"/>
      <protection/>
    </xf>
    <xf numFmtId="0" fontId="8" fillId="58" borderId="28" xfId="82" applyFont="1" applyFill="1" applyBorder="1" applyAlignment="1">
      <alignment horizontal="center" vertical="center" wrapText="1"/>
      <protection/>
    </xf>
    <xf numFmtId="4" fontId="8" fillId="58" borderId="28" xfId="82" applyNumberFormat="1" applyFont="1" applyFill="1" applyBorder="1" applyAlignment="1">
      <alignment horizontal="center" vertical="center" wrapText="1"/>
      <protection/>
    </xf>
    <xf numFmtId="1" fontId="8" fillId="58" borderId="28" xfId="82" applyNumberFormat="1" applyFont="1" applyFill="1" applyBorder="1" applyAlignment="1">
      <alignment horizontal="center" vertical="center" wrapText="1"/>
      <protection/>
    </xf>
    <xf numFmtId="0" fontId="87" fillId="0" borderId="0" xfId="80" applyFont="1" applyFill="1" applyAlignment="1">
      <alignment vertical="center" wrapText="1"/>
      <protection/>
    </xf>
    <xf numFmtId="226" fontId="87" fillId="0" borderId="0" xfId="82" applyNumberFormat="1" applyFont="1" applyFill="1" applyBorder="1" applyAlignment="1">
      <alignment horizontal="left" vertical="center"/>
      <protection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left"/>
    </xf>
    <xf numFmtId="0" fontId="90" fillId="0" borderId="0" xfId="0" applyFont="1" applyAlignment="1">
      <alignment horizontal="center" vertical="center"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 indent="2"/>
      <protection/>
    </xf>
    <xf numFmtId="0" fontId="6" fillId="0" borderId="19" xfId="0" applyFont="1" applyBorder="1" applyAlignment="1" applyProtection="1">
      <alignment horizontal="left" vertical="top" indent="2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 quotePrefix="1">
      <alignment horizontal="center" vertical="center"/>
      <protection/>
    </xf>
    <xf numFmtId="43" fontId="6" fillId="0" borderId="0" xfId="60" applyFont="1" applyAlignment="1">
      <alignment/>
    </xf>
    <xf numFmtId="2" fontId="7" fillId="0" borderId="0" xfId="0" applyNumberFormat="1" applyFont="1" applyAlignment="1">
      <alignment horizontal="center" vertical="top"/>
    </xf>
    <xf numFmtId="43" fontId="6" fillId="0" borderId="0" xfId="0" applyNumberFormat="1" applyFont="1" applyAlignment="1">
      <alignment/>
    </xf>
    <xf numFmtId="43" fontId="6" fillId="0" borderId="0" xfId="60" applyFont="1" applyAlignment="1">
      <alignment horizontal="center"/>
    </xf>
    <xf numFmtId="0" fontId="42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6" fillId="0" borderId="19" xfId="0" applyFont="1" applyBorder="1" applyAlignment="1" applyProtection="1">
      <alignment horizontal="left" vertical="top"/>
      <protection/>
    </xf>
    <xf numFmtId="0" fontId="93" fillId="0" borderId="19" xfId="0" applyFont="1" applyBorder="1" applyAlignment="1" applyProtection="1" quotePrefix="1">
      <alignment horizontal="center" vertical="top"/>
      <protection/>
    </xf>
    <xf numFmtId="2" fontId="93" fillId="0" borderId="19" xfId="0" applyNumberFormat="1" applyFont="1" applyBorder="1" applyAlignment="1" applyProtection="1">
      <alignment horizontal="center" vertical="top"/>
      <protection/>
    </xf>
    <xf numFmtId="43" fontId="36" fillId="0" borderId="0" xfId="60" applyFont="1" applyAlignment="1">
      <alignment/>
    </xf>
    <xf numFmtId="2" fontId="36" fillId="0" borderId="0" xfId="0" applyNumberFormat="1" applyFont="1" applyAlignment="1">
      <alignment/>
    </xf>
    <xf numFmtId="2" fontId="95" fillId="0" borderId="19" xfId="0" applyNumberFormat="1" applyFont="1" applyBorder="1" applyAlignment="1" applyProtection="1">
      <alignment horizontal="center" vertical="top"/>
      <protection/>
    </xf>
    <xf numFmtId="0" fontId="7" fillId="0" borderId="19" xfId="0" applyFont="1" applyBorder="1" applyAlignment="1" applyProtection="1">
      <alignment horizontal="center" vertical="top"/>
      <protection/>
    </xf>
    <xf numFmtId="4" fontId="96" fillId="47" borderId="21" xfId="80" applyNumberFormat="1" applyFont="1" applyFill="1" applyBorder="1" applyAlignment="1">
      <alignment horizontal="center" vertical="center" wrapText="1"/>
      <protection/>
    </xf>
    <xf numFmtId="1" fontId="97" fillId="0" borderId="0" xfId="82" applyNumberFormat="1" applyFont="1" applyFill="1" applyAlignment="1">
      <alignment horizontal="left" vertical="center"/>
      <protection/>
    </xf>
    <xf numFmtId="4" fontId="87" fillId="0" borderId="22" xfId="82" applyNumberFormat="1" applyFont="1" applyFill="1" applyBorder="1" applyAlignment="1">
      <alignment horizontal="center" vertical="center" wrapText="1"/>
      <protection/>
    </xf>
    <xf numFmtId="4" fontId="87" fillId="47" borderId="19" xfId="80" applyNumberFormat="1" applyFont="1" applyFill="1" applyBorder="1" applyAlignment="1">
      <alignment horizontal="center" vertical="center" wrapText="1"/>
      <protection/>
    </xf>
    <xf numFmtId="0" fontId="8" fillId="0" borderId="21" xfId="82" applyFont="1" applyFill="1" applyBorder="1" applyAlignment="1">
      <alignment horizontal="right" vertical="center" wrapText="1"/>
      <protection/>
    </xf>
    <xf numFmtId="0" fontId="39" fillId="56" borderId="19" xfId="0" applyFont="1" applyFill="1" applyBorder="1" applyAlignment="1">
      <alignment horizontal="center" vertical="center" wrapText="1"/>
    </xf>
    <xf numFmtId="0" fontId="39" fillId="56" borderId="21" xfId="0" applyFont="1" applyFill="1" applyBorder="1" applyAlignment="1">
      <alignment horizontal="center" vertical="center" wrapText="1"/>
    </xf>
    <xf numFmtId="0" fontId="9" fillId="59" borderId="21" xfId="82" applyFont="1" applyFill="1" applyBorder="1" applyAlignment="1">
      <alignment horizontal="center" vertical="center" wrapText="1"/>
      <protection/>
    </xf>
    <xf numFmtId="0" fontId="87" fillId="0" borderId="25" xfId="82" applyFont="1" applyFill="1" applyBorder="1" applyAlignment="1">
      <alignment horizontal="center" vertical="center" wrapText="1"/>
      <protection/>
    </xf>
    <xf numFmtId="0" fontId="87" fillId="0" borderId="0" xfId="80" applyFont="1" applyFill="1" applyAlignment="1">
      <alignment vertical="center"/>
      <protection/>
    </xf>
    <xf numFmtId="1" fontId="98" fillId="0" borderId="19" xfId="80" applyNumberFormat="1" applyFont="1" applyFill="1" applyBorder="1" applyAlignment="1">
      <alignment horizontal="center" vertical="center" wrapText="1"/>
      <protection/>
    </xf>
    <xf numFmtId="0" fontId="8" fillId="0" borderId="22" xfId="82" applyFont="1" applyFill="1" applyBorder="1" applyAlignment="1">
      <alignment horizontal="left" vertical="center" wrapText="1"/>
      <protection/>
    </xf>
    <xf numFmtId="4" fontId="87" fillId="0" borderId="19" xfId="82" applyNumberFormat="1" applyFont="1" applyFill="1" applyBorder="1" applyAlignment="1">
      <alignment horizontal="center" vertical="center" wrapText="1"/>
      <protection/>
    </xf>
    <xf numFmtId="4" fontId="87" fillId="47" borderId="19" xfId="82" applyNumberFormat="1" applyFont="1" applyFill="1" applyBorder="1" applyAlignment="1">
      <alignment horizontal="center" vertical="center" wrapText="1"/>
      <protection/>
    </xf>
    <xf numFmtId="4" fontId="87" fillId="11" borderId="19" xfId="82" applyNumberFormat="1" applyFont="1" applyFill="1" applyBorder="1" applyAlignment="1">
      <alignment horizontal="center" vertical="center" wrapText="1"/>
      <protection/>
    </xf>
    <xf numFmtId="0" fontId="87" fillId="0" borderId="19" xfId="0" applyFont="1" applyBorder="1" applyAlignment="1">
      <alignment horizontal="center" vertical="center" wrapText="1"/>
    </xf>
    <xf numFmtId="4" fontId="87" fillId="0" borderId="22" xfId="83" applyNumberFormat="1" applyFont="1" applyFill="1" applyBorder="1" applyAlignment="1">
      <alignment horizontal="center" vertical="center" wrapText="1"/>
      <protection/>
    </xf>
    <xf numFmtId="3" fontId="87" fillId="0" borderId="19" xfId="80" applyNumberFormat="1" applyFont="1" applyFill="1" applyBorder="1" applyAlignment="1">
      <alignment horizontal="center" vertical="center" wrapText="1"/>
      <protection/>
    </xf>
    <xf numFmtId="4" fontId="87" fillId="49" borderId="26" xfId="82" applyNumberFormat="1" applyFont="1" applyFill="1" applyBorder="1" applyAlignment="1">
      <alignment horizontal="left" vertical="center" wrapText="1"/>
      <protection/>
    </xf>
    <xf numFmtId="0" fontId="8" fillId="0" borderId="23" xfId="80" applyFont="1" applyFill="1" applyBorder="1" applyAlignment="1">
      <alignment horizontal="center" vertical="center" wrapText="1"/>
      <protection/>
    </xf>
    <xf numFmtId="230" fontId="8" fillId="0" borderId="19" xfId="80" applyNumberFormat="1" applyFont="1" applyFill="1" applyBorder="1" applyAlignment="1">
      <alignment horizontal="center" vertical="center" wrapText="1"/>
      <protection/>
    </xf>
    <xf numFmtId="230" fontId="8" fillId="0" borderId="34" xfId="80" applyNumberFormat="1" applyFont="1" applyFill="1" applyBorder="1" applyAlignment="1">
      <alignment horizontal="center" vertical="center" wrapText="1"/>
      <protection/>
    </xf>
    <xf numFmtId="4" fontId="8" fillId="55" borderId="19" xfId="80" applyNumberFormat="1" applyFont="1" applyFill="1" applyBorder="1" applyAlignment="1">
      <alignment horizontal="center" vertical="center" wrapText="1"/>
      <protection/>
    </xf>
    <xf numFmtId="0" fontId="45" fillId="0" borderId="24" xfId="80" applyFont="1" applyFill="1" applyBorder="1" applyAlignment="1">
      <alignment vertical="center" wrapText="1"/>
      <protection/>
    </xf>
    <xf numFmtId="0" fontId="8" fillId="0" borderId="21" xfId="80" applyFont="1" applyFill="1" applyBorder="1" applyAlignment="1">
      <alignment horizontal="center" vertical="center" wrapText="1"/>
      <protection/>
    </xf>
    <xf numFmtId="0" fontId="9" fillId="0" borderId="0" xfId="82" applyFont="1" applyFill="1" applyBorder="1" applyAlignment="1">
      <alignment horizontal="left" vertical="center"/>
      <protection/>
    </xf>
    <xf numFmtId="0" fontId="8" fillId="49" borderId="22" xfId="82" applyFont="1" applyFill="1" applyBorder="1" applyAlignment="1">
      <alignment horizontal="left" vertical="center" wrapText="1"/>
      <protection/>
    </xf>
    <xf numFmtId="0" fontId="8" fillId="58" borderId="21" xfId="82" applyFont="1" applyFill="1" applyBorder="1" applyAlignment="1">
      <alignment horizontal="left" vertical="center" wrapText="1"/>
      <protection/>
    </xf>
    <xf numFmtId="0" fontId="8" fillId="58" borderId="22" xfId="82" applyFont="1" applyFill="1" applyBorder="1" applyAlignment="1">
      <alignment horizontal="center" vertical="center" wrapText="1"/>
      <protection/>
    </xf>
    <xf numFmtId="0" fontId="8" fillId="58" borderId="21" xfId="82" applyFont="1" applyFill="1" applyBorder="1" applyAlignment="1">
      <alignment horizontal="center" vertical="center" wrapText="1"/>
      <protection/>
    </xf>
    <xf numFmtId="0" fontId="9" fillId="0" borderId="23" xfId="82" applyFont="1" applyFill="1" applyBorder="1" applyAlignment="1">
      <alignment horizontal="left" vertical="center" wrapText="1"/>
      <protection/>
    </xf>
    <xf numFmtId="0" fontId="8" fillId="0" borderId="19" xfId="82" applyFont="1" applyFill="1" applyBorder="1" applyAlignment="1">
      <alignment horizontal="center" vertical="top" wrapText="1"/>
      <protection/>
    </xf>
    <xf numFmtId="0" fontId="9" fillId="0" borderId="23" xfId="82" applyFont="1" applyFill="1" applyBorder="1" applyAlignment="1">
      <alignment horizontal="left" vertical="top" wrapText="1"/>
      <protection/>
    </xf>
    <xf numFmtId="0" fontId="8" fillId="0" borderId="21" xfId="82" applyFont="1" applyFill="1" applyBorder="1" applyAlignment="1">
      <alignment horizontal="center" vertical="top" wrapText="1"/>
      <protection/>
    </xf>
    <xf numFmtId="0" fontId="9" fillId="0" borderId="32" xfId="82" applyFont="1" applyFill="1" applyBorder="1" applyAlignment="1">
      <alignment horizontal="left" vertical="center" wrapText="1"/>
      <protection/>
    </xf>
    <xf numFmtId="0" fontId="8" fillId="0" borderId="32" xfId="82" applyFont="1" applyFill="1" applyBorder="1" applyAlignment="1">
      <alignment horizontal="center" vertical="center" wrapText="1"/>
      <protection/>
    </xf>
    <xf numFmtId="1" fontId="39" fillId="0" borderId="19" xfId="79" applyNumberFormat="1" applyFont="1" applyFill="1" applyBorder="1" applyAlignment="1">
      <alignment horizontal="center" vertical="top"/>
      <protection/>
    </xf>
    <xf numFmtId="1" fontId="6" fillId="0" borderId="19" xfId="79" applyNumberFormat="1" applyFont="1" applyFill="1" applyBorder="1" applyAlignment="1">
      <alignment horizontal="center" vertical="top"/>
      <protection/>
    </xf>
    <xf numFmtId="0" fontId="4" fillId="0" borderId="0" xfId="0" applyFont="1" applyAlignment="1">
      <alignment horizontal="left"/>
    </xf>
    <xf numFmtId="1" fontId="6" fillId="0" borderId="19" xfId="0" applyNumberFormat="1" applyFont="1" applyBorder="1" applyAlignment="1" applyProtection="1">
      <alignment horizontal="center" vertical="top" shrinkToFit="1"/>
      <protection/>
    </xf>
    <xf numFmtId="2" fontId="7" fillId="54" borderId="19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/>
    </xf>
    <xf numFmtId="0" fontId="9" fillId="0" borderId="27" xfId="82" applyFont="1" applyBorder="1" applyAlignment="1">
      <alignment horizontal="left" vertical="center"/>
      <protection/>
    </xf>
    <xf numFmtId="2" fontId="91" fillId="0" borderId="21" xfId="80" applyNumberFormat="1" applyFont="1" applyFill="1" applyBorder="1" applyAlignment="1">
      <alignment horizontal="center" vertical="center" wrapText="1"/>
      <protection/>
    </xf>
    <xf numFmtId="2" fontId="99" fillId="0" borderId="21" xfId="80" applyNumberFormat="1" applyFont="1" applyFill="1" applyBorder="1" applyAlignment="1">
      <alignment horizontal="center" vertical="center" wrapText="1"/>
      <protection/>
    </xf>
    <xf numFmtId="2" fontId="99" fillId="0" borderId="19" xfId="80" applyNumberFormat="1" applyFont="1" applyFill="1" applyBorder="1" applyAlignment="1">
      <alignment horizontal="center" vertical="center" wrapText="1"/>
      <protection/>
    </xf>
    <xf numFmtId="2" fontId="99" fillId="0" borderId="21" xfId="80" applyNumberFormat="1" applyFont="1" applyFill="1" applyBorder="1" applyAlignment="1">
      <alignment horizontal="left" vertical="center" wrapText="1"/>
      <protection/>
    </xf>
    <xf numFmtId="0" fontId="99" fillId="0" borderId="22" xfId="82" applyFont="1" applyFill="1" applyBorder="1" applyAlignment="1">
      <alignment horizontal="center" vertical="center" wrapText="1"/>
      <protection/>
    </xf>
    <xf numFmtId="2" fontId="99" fillId="0" borderId="24" xfId="0" applyNumberFormat="1" applyFont="1" applyFill="1" applyBorder="1" applyAlignment="1">
      <alignment horizontal="center" vertical="center" wrapText="1"/>
    </xf>
    <xf numFmtId="0" fontId="99" fillId="0" borderId="24" xfId="82" applyFont="1" applyFill="1" applyBorder="1" applyAlignment="1">
      <alignment horizontal="center" vertical="center" wrapText="1"/>
      <protection/>
    </xf>
    <xf numFmtId="2" fontId="99" fillId="0" borderId="24" xfId="80" applyNumberFormat="1" applyFont="1" applyFill="1" applyBorder="1" applyAlignment="1">
      <alignment horizontal="left" vertical="center" wrapText="1"/>
      <protection/>
    </xf>
    <xf numFmtId="2" fontId="99" fillId="0" borderId="24" xfId="80" applyNumberFormat="1" applyFont="1" applyFill="1" applyBorder="1" applyAlignment="1">
      <alignment horizontal="center" vertical="center" wrapText="1"/>
      <protection/>
    </xf>
    <xf numFmtId="2" fontId="99" fillId="0" borderId="22" xfId="80" applyNumberFormat="1" applyFont="1" applyFill="1" applyBorder="1" applyAlignment="1">
      <alignment horizontal="center" vertical="center" wrapText="1"/>
      <protection/>
    </xf>
    <xf numFmtId="0" fontId="99" fillId="49" borderId="19" xfId="82" applyFont="1" applyFill="1" applyBorder="1" applyAlignment="1">
      <alignment horizontal="left" vertical="center" wrapText="1"/>
      <protection/>
    </xf>
    <xf numFmtId="2" fontId="91" fillId="0" borderId="19" xfId="80" applyNumberFormat="1" applyFont="1" applyFill="1" applyBorder="1" applyAlignment="1">
      <alignment horizontal="center" vertical="center" wrapText="1"/>
      <protection/>
    </xf>
    <xf numFmtId="2" fontId="99" fillId="0" borderId="22" xfId="0" applyNumberFormat="1" applyFont="1" applyFill="1" applyBorder="1" applyAlignment="1">
      <alignment horizontal="center" vertical="top" wrapText="1"/>
    </xf>
    <xf numFmtId="0" fontId="91" fillId="0" borderId="22" xfId="82" applyFont="1" applyFill="1" applyBorder="1" applyAlignment="1">
      <alignment horizontal="center" vertical="center" wrapText="1"/>
      <protection/>
    </xf>
    <xf numFmtId="0" fontId="91" fillId="0" borderId="24" xfId="82" applyFont="1" applyFill="1" applyBorder="1" applyAlignment="1">
      <alignment horizontal="center" vertical="center" wrapText="1"/>
      <protection/>
    </xf>
    <xf numFmtId="2" fontId="99" fillId="0" borderId="22" xfId="82" applyNumberFormat="1" applyFont="1" applyFill="1" applyBorder="1" applyAlignment="1">
      <alignment horizontal="center" vertical="center" wrapText="1"/>
      <protection/>
    </xf>
    <xf numFmtId="2" fontId="99" fillId="0" borderId="19" xfId="0" applyNumberFormat="1" applyFont="1" applyFill="1" applyBorder="1" applyAlignment="1">
      <alignment horizontal="center" vertical="top" wrapText="1"/>
    </xf>
    <xf numFmtId="2" fontId="91" fillId="59" borderId="21" xfId="80" applyNumberFormat="1" applyFont="1" applyFill="1" applyBorder="1" applyAlignment="1">
      <alignment horizontal="center" vertical="center" wrapText="1"/>
      <protection/>
    </xf>
    <xf numFmtId="0" fontId="91" fillId="0" borderId="19" xfId="82" applyFont="1" applyFill="1" applyBorder="1" applyAlignment="1">
      <alignment horizontal="center" vertical="center" wrapText="1"/>
      <protection/>
    </xf>
    <xf numFmtId="2" fontId="100" fillId="0" borderId="21" xfId="80" applyNumberFormat="1" applyFont="1" applyFill="1" applyBorder="1" applyAlignment="1">
      <alignment horizontal="center" vertical="center" wrapText="1"/>
      <protection/>
    </xf>
    <xf numFmtId="43" fontId="87" fillId="0" borderId="22" xfId="60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3" fillId="58" borderId="21" xfId="82" applyFont="1" applyFill="1" applyBorder="1" applyAlignment="1">
      <alignment horizontal="center" vertical="center" wrapText="1"/>
      <protection/>
    </xf>
    <xf numFmtId="0" fontId="13" fillId="58" borderId="22" xfId="82" applyFont="1" applyFill="1" applyBorder="1" applyAlignment="1">
      <alignment horizontal="center" vertical="center" wrapText="1"/>
      <protection/>
    </xf>
    <xf numFmtId="0" fontId="8" fillId="0" borderId="21" xfId="80" applyFont="1" applyFill="1" applyBorder="1" applyAlignment="1">
      <alignment horizontal="left" vertical="center" wrapText="1"/>
      <protection/>
    </xf>
    <xf numFmtId="0" fontId="8" fillId="0" borderId="24" xfId="80" applyFont="1" applyFill="1" applyBorder="1" applyAlignment="1">
      <alignment horizontal="left" vertical="center" wrapText="1"/>
      <protection/>
    </xf>
    <xf numFmtId="0" fontId="9" fillId="49" borderId="26" xfId="82" applyFont="1" applyFill="1" applyBorder="1" applyAlignment="1">
      <alignment horizontal="left" vertical="center" wrapText="1"/>
      <protection/>
    </xf>
    <xf numFmtId="0" fontId="8" fillId="0" borderId="21" xfId="80" applyFont="1" applyFill="1" applyBorder="1" applyAlignment="1">
      <alignment horizontal="left" vertical="top" wrapText="1"/>
      <protection/>
    </xf>
    <xf numFmtId="0" fontId="8" fillId="0" borderId="22" xfId="80" applyFont="1" applyFill="1" applyBorder="1" applyAlignment="1">
      <alignment horizontal="left" vertical="top" wrapText="1"/>
      <protection/>
    </xf>
    <xf numFmtId="0" fontId="9" fillId="49" borderId="26" xfId="82" applyFont="1" applyFill="1" applyBorder="1" applyAlignment="1">
      <alignment horizontal="left" vertical="top" wrapText="1"/>
      <protection/>
    </xf>
    <xf numFmtId="0" fontId="8" fillId="0" borderId="21" xfId="80" applyFont="1" applyFill="1" applyBorder="1" applyAlignment="1">
      <alignment horizontal="center" vertical="top" wrapText="1"/>
      <protection/>
    </xf>
    <xf numFmtId="0" fontId="8" fillId="0" borderId="24" xfId="80" applyFont="1" applyFill="1" applyBorder="1" applyAlignment="1">
      <alignment horizontal="center" vertical="top" wrapText="1"/>
      <protection/>
    </xf>
    <xf numFmtId="0" fontId="8" fillId="0" borderId="24" xfId="80" applyFont="1" applyFill="1" applyBorder="1" applyAlignment="1">
      <alignment horizontal="left" vertical="top" wrapText="1"/>
      <protection/>
    </xf>
    <xf numFmtId="0" fontId="13" fillId="58" borderId="32" xfId="82" applyFont="1" applyFill="1" applyBorder="1" applyAlignment="1">
      <alignment horizontal="left" vertical="top" wrapText="1"/>
      <protection/>
    </xf>
    <xf numFmtId="0" fontId="13" fillId="58" borderId="28" xfId="82" applyFont="1" applyFill="1" applyBorder="1" applyAlignment="1">
      <alignment horizontal="left" vertical="top" wrapText="1"/>
      <protection/>
    </xf>
    <xf numFmtId="0" fontId="13" fillId="58" borderId="25" xfId="82" applyFont="1" applyFill="1" applyBorder="1" applyAlignment="1">
      <alignment horizontal="left" vertical="top" wrapText="1"/>
      <protection/>
    </xf>
    <xf numFmtId="0" fontId="13" fillId="58" borderId="27" xfId="82" applyFont="1" applyFill="1" applyBorder="1" applyAlignment="1">
      <alignment horizontal="left" vertical="top" wrapText="1"/>
      <protection/>
    </xf>
    <xf numFmtId="0" fontId="8" fillId="0" borderId="21" xfId="82" applyFont="1" applyFill="1" applyBorder="1" applyAlignment="1">
      <alignment horizontal="right" vertical="center" wrapText="1"/>
      <protection/>
    </xf>
    <xf numFmtId="0" fontId="8" fillId="0" borderId="22" xfId="82" applyFont="1" applyFill="1" applyBorder="1" applyAlignment="1">
      <alignment horizontal="right" vertical="center" wrapText="1"/>
      <protection/>
    </xf>
    <xf numFmtId="0" fontId="8" fillId="0" borderId="19" xfId="105" applyFont="1" applyFill="1" applyBorder="1" applyAlignment="1">
      <alignment horizontal="center" vertical="center" wrapText="1"/>
      <protection/>
    </xf>
    <xf numFmtId="4" fontId="8" fillId="12" borderId="19" xfId="82" applyNumberFormat="1" applyFont="1" applyFill="1" applyBorder="1" applyAlignment="1">
      <alignment horizontal="center" vertical="center" wrapText="1"/>
      <protection/>
    </xf>
    <xf numFmtId="4" fontId="8" fillId="12" borderId="19" xfId="105" applyNumberFormat="1" applyFont="1" applyFill="1" applyBorder="1" applyAlignment="1">
      <alignment horizontal="center" vertical="center" wrapText="1"/>
      <protection/>
    </xf>
    <xf numFmtId="0" fontId="8" fillId="12" borderId="19" xfId="105" applyFont="1" applyFill="1" applyBorder="1" applyAlignment="1">
      <alignment horizontal="center" vertical="center" wrapText="1"/>
      <protection/>
    </xf>
    <xf numFmtId="1" fontId="8" fillId="9" borderId="19" xfId="82" applyNumberFormat="1" applyFont="1" applyFill="1" applyBorder="1" applyAlignment="1">
      <alignment horizontal="center" vertical="center" wrapText="1"/>
      <protection/>
    </xf>
    <xf numFmtId="0" fontId="87" fillId="9" borderId="19" xfId="82" applyFont="1" applyFill="1" applyBorder="1" applyAlignment="1">
      <alignment horizontal="center" vertical="center" wrapText="1"/>
      <protection/>
    </xf>
    <xf numFmtId="0" fontId="9" fillId="0" borderId="0" xfId="104" applyFont="1" applyFill="1" applyAlignment="1">
      <alignment horizontal="left" vertical="center" wrapText="1"/>
      <protection/>
    </xf>
    <xf numFmtId="0" fontId="8" fillId="0" borderId="19" xfId="82" applyFont="1" applyFill="1" applyBorder="1" applyAlignment="1">
      <alignment horizontal="center" vertical="center" wrapText="1"/>
      <protection/>
    </xf>
    <xf numFmtId="0" fontId="8" fillId="12" borderId="19" xfId="82" applyFont="1" applyFill="1" applyBorder="1" applyAlignment="1">
      <alignment horizontal="center" vertical="center" wrapText="1"/>
      <protection/>
    </xf>
    <xf numFmtId="4" fontId="8" fillId="9" borderId="19" xfId="80" applyNumberFormat="1" applyFont="1" applyFill="1" applyBorder="1" applyAlignment="1">
      <alignment horizontal="center" vertical="center" wrapText="1"/>
      <protection/>
    </xf>
    <xf numFmtId="2" fontId="88" fillId="0" borderId="0" xfId="0" applyNumberFormat="1" applyFont="1" applyBorder="1" applyAlignment="1" applyProtection="1">
      <alignment horizontal="center" vertical="center" shrinkToFit="1"/>
      <protection locked="0"/>
    </xf>
    <xf numFmtId="0" fontId="39" fillId="56" borderId="19" xfId="0" applyFont="1" applyFill="1" applyBorder="1" applyAlignment="1">
      <alignment horizontal="center" vertical="center" wrapText="1"/>
    </xf>
    <xf numFmtId="0" fontId="39" fillId="56" borderId="21" xfId="0" applyFont="1" applyFill="1" applyBorder="1" applyAlignment="1">
      <alignment horizontal="center" vertical="center" wrapText="1"/>
    </xf>
    <xf numFmtId="1" fontId="39" fillId="0" borderId="19" xfId="0" applyNumberFormat="1" applyFont="1" applyBorder="1" applyAlignment="1" applyProtection="1">
      <alignment horizontal="center" vertical="top" shrinkToFit="1"/>
      <protection locked="0"/>
    </xf>
    <xf numFmtId="0" fontId="39" fillId="0" borderId="19" xfId="0" applyFont="1" applyBorder="1" applyAlignment="1">
      <alignment/>
    </xf>
    <xf numFmtId="0" fontId="39" fillId="0" borderId="23" xfId="0" applyFont="1" applyBorder="1" applyAlignment="1">
      <alignment horizontal="left" vertical="center" wrapText="1" indent="1"/>
    </xf>
    <xf numFmtId="1" fontId="39" fillId="0" borderId="21" xfId="79" applyNumberFormat="1" applyFont="1" applyFill="1" applyBorder="1" applyAlignment="1">
      <alignment horizontal="center" vertical="center"/>
      <protection/>
    </xf>
    <xf numFmtId="1" fontId="39" fillId="0" borderId="22" xfId="79" applyNumberFormat="1" applyFont="1" applyFill="1" applyBorder="1" applyAlignment="1">
      <alignment horizontal="center" vertical="center"/>
      <protection/>
    </xf>
    <xf numFmtId="4" fontId="39" fillId="0" borderId="19" xfId="0" applyNumberFormat="1" applyFont="1" applyBorder="1" applyAlignment="1" applyProtection="1">
      <alignment horizontal="center" vertical="center" shrinkToFit="1"/>
      <protection/>
    </xf>
    <xf numFmtId="4" fontId="39" fillId="0" borderId="19" xfId="0" applyNumberFormat="1" applyFont="1" applyBorder="1" applyAlignment="1" applyProtection="1">
      <alignment horizontal="center" vertical="center" shrinkToFit="1"/>
      <protection locked="0"/>
    </xf>
    <xf numFmtId="2" fontId="39" fillId="0" borderId="19" xfId="0" applyNumberFormat="1" applyFont="1" applyBorder="1" applyAlignment="1" applyProtection="1">
      <alignment horizontal="center" vertical="center" shrinkToFit="1"/>
      <protection locked="0"/>
    </xf>
    <xf numFmtId="234" fontId="39" fillId="0" borderId="19" xfId="0" applyNumberFormat="1" applyFont="1" applyBorder="1" applyAlignment="1" applyProtection="1">
      <alignment horizontal="center" vertical="center" shrinkToFit="1"/>
      <protection locked="0"/>
    </xf>
    <xf numFmtId="0" fontId="38" fillId="0" borderId="19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left" vertical="center" indent="1" shrinkToFit="1"/>
    </xf>
    <xf numFmtId="1" fontId="39" fillId="0" borderId="21" xfId="79" applyNumberFormat="1" applyFont="1" applyFill="1" applyBorder="1" applyAlignment="1">
      <alignment horizontal="center" vertical="center" wrapText="1" shrinkToFit="1"/>
      <protection/>
    </xf>
    <xf numFmtId="1" fontId="39" fillId="0" borderId="22" xfId="79" applyNumberFormat="1" applyFont="1" applyFill="1" applyBorder="1" applyAlignment="1">
      <alignment horizontal="center" vertical="center" wrapText="1" shrinkToFit="1"/>
      <protection/>
    </xf>
    <xf numFmtId="0" fontId="39" fillId="0" borderId="19" xfId="0" applyFont="1" applyBorder="1" applyAlignment="1" applyProtection="1">
      <alignment horizontal="center" vertical="top" shrinkToFit="1"/>
      <protection locked="0"/>
    </xf>
    <xf numFmtId="2" fontId="6" fillId="0" borderId="21" xfId="0" applyNumberFormat="1" applyFont="1" applyBorder="1" applyAlignment="1" applyProtection="1">
      <alignment horizontal="center" vertical="center" shrinkToFit="1"/>
      <protection/>
    </xf>
    <xf numFmtId="2" fontId="6" fillId="0" borderId="22" xfId="0" applyNumberFormat="1" applyFont="1" applyBorder="1" applyAlignment="1" applyProtection="1">
      <alignment horizontal="center" vertical="center" shrinkToFit="1"/>
      <protection/>
    </xf>
    <xf numFmtId="4" fontId="6" fillId="0" borderId="19" xfId="0" applyNumberFormat="1" applyFont="1" applyBorder="1" applyAlignment="1" applyProtection="1">
      <alignment horizontal="center" vertical="center" shrinkToFit="1"/>
      <protection/>
    </xf>
    <xf numFmtId="2" fontId="6" fillId="0" borderId="19" xfId="0" applyNumberFormat="1" applyFont="1" applyBorder="1" applyAlignment="1" applyProtection="1">
      <alignment horizontal="center" vertical="center" shrinkToFit="1"/>
      <protection/>
    </xf>
    <xf numFmtId="0" fontId="42" fillId="0" borderId="19" xfId="0" applyFont="1" applyBorder="1" applyAlignment="1">
      <alignment horizontal="left" vertical="center" wrapText="1" indent="4"/>
    </xf>
    <xf numFmtId="0" fontId="42" fillId="0" borderId="22" xfId="0" applyFont="1" applyBorder="1" applyAlignment="1">
      <alignment horizontal="left" vertical="center" wrapText="1" indent="4"/>
    </xf>
    <xf numFmtId="0" fontId="6" fillId="0" borderId="23" xfId="0" applyFont="1" applyBorder="1" applyAlignment="1">
      <alignment vertical="center" wrapText="1"/>
    </xf>
    <xf numFmtId="1" fontId="6" fillId="0" borderId="21" xfId="79" applyNumberFormat="1" applyFont="1" applyFill="1" applyBorder="1" applyAlignment="1" quotePrefix="1">
      <alignment horizontal="center" vertical="center"/>
      <protection/>
    </xf>
    <xf numFmtId="1" fontId="6" fillId="0" borderId="22" xfId="79" applyNumberFormat="1" applyFont="1" applyFill="1" applyBorder="1" applyAlignment="1" quotePrefix="1">
      <alignment horizontal="center" vertical="center"/>
      <protection/>
    </xf>
    <xf numFmtId="1" fontId="6" fillId="0" borderId="21" xfId="79" applyNumberFormat="1" applyFont="1" applyFill="1" applyBorder="1" applyAlignment="1">
      <alignment horizontal="center" vertical="center"/>
      <protection/>
    </xf>
    <xf numFmtId="1" fontId="6" fillId="0" borderId="22" xfId="79" applyNumberFormat="1" applyFont="1" applyFill="1" applyBorder="1" applyAlignment="1">
      <alignment horizontal="center" vertical="center"/>
      <protection/>
    </xf>
    <xf numFmtId="0" fontId="6" fillId="56" borderId="19" xfId="0" applyFont="1" applyFill="1" applyBorder="1" applyAlignment="1">
      <alignment horizontal="center" vertical="center" wrapText="1"/>
    </xf>
    <xf numFmtId="0" fontId="6" fillId="56" borderId="21" xfId="0" applyFont="1" applyFill="1" applyBorder="1" applyAlignment="1">
      <alignment horizontal="center" vertical="center" wrapText="1"/>
    </xf>
    <xf numFmtId="2" fontId="6" fillId="0" borderId="23" xfId="0" applyNumberFormat="1" applyFont="1" applyBorder="1" applyAlignment="1" applyProtection="1">
      <alignment horizontal="center" vertical="center" shrinkToFit="1"/>
      <protection/>
    </xf>
    <xf numFmtId="2" fontId="6" fillId="0" borderId="34" xfId="0" applyNumberFormat="1" applyFont="1" applyBorder="1" applyAlignment="1" applyProtection="1">
      <alignment horizontal="center" vertical="center" shrinkToFit="1"/>
      <protection/>
    </xf>
    <xf numFmtId="0" fontId="6" fillId="0" borderId="21" xfId="79" applyNumberFormat="1" applyFont="1" applyFill="1" applyBorder="1" applyAlignment="1">
      <alignment horizontal="center" vertical="center"/>
      <protection/>
    </xf>
    <xf numFmtId="0" fontId="6" fillId="0" borderId="22" xfId="79" applyNumberFormat="1" applyFont="1" applyFill="1" applyBorder="1" applyAlignment="1">
      <alignment horizontal="center" vertical="center"/>
      <protection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21" xfId="79" applyNumberFormat="1" applyFont="1" applyFill="1" applyBorder="1" applyAlignment="1">
      <alignment horizontal="center" vertical="center"/>
      <protection/>
    </xf>
    <xf numFmtId="2" fontId="6" fillId="0" borderId="22" xfId="79" applyNumberFormat="1" applyFont="1" applyFill="1" applyBorder="1" applyAlignment="1">
      <alignment horizontal="center" vertical="center"/>
      <protection/>
    </xf>
    <xf numFmtId="0" fontId="7" fillId="56" borderId="19" xfId="0" applyFont="1" applyFill="1" applyBorder="1" applyAlignment="1" applyProtection="1">
      <alignment horizontal="center" vertical="center" wrapText="1"/>
      <protection/>
    </xf>
    <xf numFmtId="1" fontId="6" fillId="0" borderId="19" xfId="0" applyNumberFormat="1" applyFont="1" applyBorder="1" applyAlignment="1" applyProtection="1">
      <alignment horizontal="center" vertical="top" shrinkToFit="1"/>
      <protection/>
    </xf>
    <xf numFmtId="0" fontId="6" fillId="0" borderId="19" xfId="0" applyFont="1" applyBorder="1" applyAlignment="1" applyProtection="1">
      <alignment horizontal="center" vertical="top" shrinkToFit="1"/>
      <protection/>
    </xf>
    <xf numFmtId="4" fontId="6" fillId="0" borderId="19" xfId="0" applyNumberFormat="1" applyFont="1" applyBorder="1" applyAlignment="1" applyProtection="1">
      <alignment horizontal="left" vertical="center" indent="1" shrinkToFit="1"/>
      <protection/>
    </xf>
    <xf numFmtId="1" fontId="6" fillId="0" borderId="21" xfId="0" applyNumberFormat="1" applyFont="1" applyBorder="1" applyAlignment="1" applyProtection="1">
      <alignment horizontal="center" vertical="center" shrinkToFit="1"/>
      <protection/>
    </xf>
    <xf numFmtId="1" fontId="6" fillId="0" borderId="22" xfId="0" applyNumberFormat="1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left" vertical="center" wrapText="1" inden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6" fillId="0" borderId="19" xfId="78" applyFont="1" applyBorder="1" applyAlignment="1" applyProtection="1">
      <alignment horizontal="center" vertical="center"/>
      <protection/>
    </xf>
    <xf numFmtId="0" fontId="37" fillId="0" borderId="21" xfId="78" applyFont="1" applyBorder="1" applyAlignment="1" applyProtection="1">
      <alignment horizontal="center" vertical="center" wrapText="1"/>
      <protection/>
    </xf>
    <xf numFmtId="0" fontId="37" fillId="0" borderId="22" xfId="78" applyFont="1" applyBorder="1" applyAlignment="1" applyProtection="1">
      <alignment horizontal="center" vertical="center" wrapText="1"/>
      <protection/>
    </xf>
    <xf numFmtId="0" fontId="46" fillId="0" borderId="21" xfId="0" applyFont="1" applyBorder="1" applyAlignment="1" applyProtection="1">
      <alignment horizontal="center" vertical="top" wrapText="1"/>
      <protection/>
    </xf>
    <xf numFmtId="0" fontId="46" fillId="0" borderId="22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37" fillId="0" borderId="19" xfId="78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37" fillId="0" borderId="21" xfId="0" applyFont="1" applyBorder="1" applyAlignment="1" applyProtection="1">
      <alignment horizontal="center" vertical="top" wrapText="1"/>
      <protection/>
    </xf>
    <xf numFmtId="0" fontId="37" fillId="0" borderId="22" xfId="0" applyFont="1" applyBorder="1" applyAlignment="1" applyProtection="1">
      <alignment horizontal="center" vertical="top" wrapText="1"/>
      <protection/>
    </xf>
    <xf numFmtId="0" fontId="6" fillId="0" borderId="19" xfId="78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left" vertical="top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4" xfId="64"/>
    <cellStyle name="Currency" xfId="65"/>
    <cellStyle name="Currency [0]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 2 2" xfId="79"/>
    <cellStyle name="Normal 3" xfId="80"/>
    <cellStyle name="Normal 4" xfId="81"/>
    <cellStyle name="Normal 5" xfId="82"/>
    <cellStyle name="Normal 6" xfId="83"/>
    <cellStyle name="Normal 6 2" xfId="84"/>
    <cellStyle name="Normal 7" xfId="85"/>
    <cellStyle name="Normal 8" xfId="86"/>
    <cellStyle name="Note" xfId="87"/>
    <cellStyle name="Output" xfId="88"/>
    <cellStyle name="Percent" xfId="89"/>
    <cellStyle name="Percent 2" xfId="90"/>
    <cellStyle name="Title" xfId="91"/>
    <cellStyle name="Total" xfId="92"/>
    <cellStyle name="Warning Text" xfId="93"/>
    <cellStyle name="การคำนวณ" xfId="94"/>
    <cellStyle name="ข้อความเตือน" xfId="95"/>
    <cellStyle name="ข้อความอธิบาย" xfId="96"/>
    <cellStyle name="เครื่องหมายจุลภาค 2" xfId="97"/>
    <cellStyle name="ชื่อเรื่อง" xfId="98"/>
    <cellStyle name="เซลล์ตรวจสอบ" xfId="99"/>
    <cellStyle name="เซลล์ที่มีการเชื่อมโยง" xfId="100"/>
    <cellStyle name="ดี" xfId="101"/>
    <cellStyle name="ปกติ 2" xfId="102"/>
    <cellStyle name="ปกติ 3" xfId="103"/>
    <cellStyle name="ปกติ_ฟอร์ม 7 สมศ. 11-02-54 2 2" xfId="104"/>
    <cellStyle name="ปกติ_ฟอร์ม7สกอ." xfId="105"/>
    <cellStyle name="ป้อนค่า" xfId="106"/>
    <cellStyle name="ปานกลาง" xfId="107"/>
    <cellStyle name="ผลรวม" xfId="108"/>
    <cellStyle name="แย่" xfId="109"/>
    <cellStyle name="ส่วนที่ถูกเน้น1" xfId="110"/>
    <cellStyle name="ส่วนที่ถูกเน้น2" xfId="111"/>
    <cellStyle name="ส่วนที่ถูกเน้น3" xfId="112"/>
    <cellStyle name="ส่วนที่ถูกเน้น4" xfId="113"/>
    <cellStyle name="ส่วนที่ถูกเน้น5" xfId="114"/>
    <cellStyle name="ส่วนที่ถูกเน้น6" xfId="115"/>
    <cellStyle name="แสดงผล" xfId="116"/>
    <cellStyle name="หมายเหตุ" xfId="117"/>
    <cellStyle name="หัวเรื่อง 1" xfId="118"/>
    <cellStyle name="หัวเรื่อง 2" xfId="119"/>
    <cellStyle name="หัวเรื่อง 3" xfId="120"/>
    <cellStyle name="หัวเรื่อง 4" xfId="121"/>
  </cellStyles>
  <dxfs count="24"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266700</xdr:rowOff>
    </xdr:from>
    <xdr:to>
      <xdr:col>6</xdr:col>
      <xdr:colOff>581025</xdr:colOff>
      <xdr:row>5</xdr:row>
      <xdr:rowOff>219075</xdr:rowOff>
    </xdr:to>
    <xdr:sp>
      <xdr:nvSpPr>
        <xdr:cNvPr id="1" name="Oval Callout 1"/>
        <xdr:cNvSpPr>
          <a:spLocks/>
        </xdr:cNvSpPr>
      </xdr:nvSpPr>
      <xdr:spPr>
        <a:xfrm>
          <a:off x="6048375" y="266700"/>
          <a:ext cx="1885950" cy="1104900"/>
        </a:xfrm>
        <a:prstGeom prst="wedgeEllipseCallout">
          <a:avLst>
            <a:gd name="adj1" fmla="val -63055"/>
            <a:gd name="adj2" fmla="val 114712"/>
          </a:avLst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ข้อมูลในตารางนี้
</a:t>
          </a:r>
          <a:r>
            <a:rPr lang="en-US" cap="none" sz="10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ไม่ต้องกรอกอะไรทั้งสิ้น</a:t>
          </a:r>
          <a:r>
            <a:rPr lang="en-US" cap="none" sz="10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มันจะคำนวนอัตโนมัติ
</a:t>
          </a:r>
          <a:r>
            <a:rPr lang="en-US" cap="none" sz="10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3</xdr:col>
      <xdr:colOff>914400</xdr:colOff>
      <xdr:row>0</xdr:row>
      <xdr:rowOff>247650</xdr:rowOff>
    </xdr:from>
    <xdr:to>
      <xdr:col>7</xdr:col>
      <xdr:colOff>0</xdr:colOff>
      <xdr:row>5</xdr:row>
      <xdr:rowOff>190500</xdr:rowOff>
    </xdr:to>
    <xdr:sp>
      <xdr:nvSpPr>
        <xdr:cNvPr id="2" name="Oval Callout 2"/>
        <xdr:cNvSpPr>
          <a:spLocks/>
        </xdr:cNvSpPr>
      </xdr:nvSpPr>
      <xdr:spPr>
        <a:xfrm>
          <a:off x="5800725" y="247650"/>
          <a:ext cx="2181225" cy="1095375"/>
        </a:xfrm>
        <a:prstGeom prst="wedgeEllipseCallout">
          <a:avLst>
            <a:gd name="adj1" fmla="val 52606"/>
            <a:gd name="adj2" fmla="val 73333"/>
          </a:avLst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- </a:t>
          </a:r>
          <a:r>
            <a:rPr lang="en-US" cap="none" sz="10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เปลี่ยนข้อมูลของท่านในช่อง </a:t>
          </a:r>
          <a:r>
            <a:rPr lang="en-US" cap="none" sz="1050" b="0" i="0" u="none" baseline="0">
              <a:solidFill>
                <a:srgbClr val="FF0000"/>
              </a:solidFill>
            </a:rPr>
            <a:t>D</a:t>
          </a:r>
          <a:r>
            <a:rPr lang="en-US" cap="none" sz="10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เท่านั้น
</a:t>
          </a:r>
          <a:r>
            <a:rPr lang="en-US" cap="none" sz="1050" b="0" i="0" u="none" baseline="0">
              <a:solidFill>
                <a:srgbClr val="FF0000"/>
              </a:solidFill>
            </a:rPr>
            <a:t>- </a:t>
          </a:r>
          <a:r>
            <a:rPr lang="en-US" cap="none" sz="10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ใส่ผลการดำเนินงาน เชิงคุณภาพ(ข้อที่ทำได้) ในช่องแถบนี้
</a:t>
          </a:r>
          <a:r>
            <a:rPr lang="en-US" cap="none" sz="105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0</xdr:row>
      <xdr:rowOff>219075</xdr:rowOff>
    </xdr:from>
    <xdr:to>
      <xdr:col>9</xdr:col>
      <xdr:colOff>333375</xdr:colOff>
      <xdr:row>5</xdr:row>
      <xdr:rowOff>219075</xdr:rowOff>
    </xdr:to>
    <xdr:sp>
      <xdr:nvSpPr>
        <xdr:cNvPr id="1" name="Oval Callout 1"/>
        <xdr:cNvSpPr>
          <a:spLocks/>
        </xdr:cNvSpPr>
      </xdr:nvSpPr>
      <xdr:spPr>
        <a:xfrm>
          <a:off x="6391275" y="219075"/>
          <a:ext cx="1876425" cy="1104900"/>
        </a:xfrm>
        <a:prstGeom prst="wedgeEllipseCallout">
          <a:avLst>
            <a:gd name="adj1" fmla="val -54430"/>
            <a:gd name="adj2" fmla="val 13851"/>
          </a:avLst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ข้อมูลในตารางนี้
</a:t>
          </a:r>
          <a:r>
            <a:rPr lang="en-US" cap="none" sz="11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ไม่ต้องกรอกอะไรทั้งสิ้น</a:t>
          </a:r>
          <a:r>
            <a:rPr lang="en-US" cap="none" sz="11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มันจะคำนวนอัตโนมัติ
</a:t>
          </a:r>
          <a:r>
            <a:rPr lang="en-US" cap="none" sz="11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3:R4"/>
  <sheetViews>
    <sheetView zoomScalePageLayoutView="0" workbookViewId="0" topLeftCell="A1">
      <selection activeCell="B3" sqref="B3:R3"/>
    </sheetView>
  </sheetViews>
  <sheetFormatPr defaultColWidth="9.00390625" defaultRowHeight="14.25"/>
  <cols>
    <col min="1" max="1" width="3.50390625" style="0" customWidth="1"/>
  </cols>
  <sheetData>
    <row r="3" spans="2:18" ht="156" customHeight="1">
      <c r="B3" s="355" t="s">
        <v>197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ht="27">
      <c r="B4" s="332" t="s">
        <v>196</v>
      </c>
    </row>
  </sheetData>
  <sheetProtection/>
  <mergeCells count="1">
    <mergeCell ref="B3:R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O82"/>
  <sheetViews>
    <sheetView tabSelected="1" zoomScale="90" zoomScaleNormal="90" zoomScaleSheetLayoutView="100" zoomScalePageLayoutView="0" workbookViewId="0" topLeftCell="A1">
      <selection activeCell="P2" sqref="P2"/>
    </sheetView>
  </sheetViews>
  <sheetFormatPr defaultColWidth="94.25390625" defaultRowHeight="14.25"/>
  <cols>
    <col min="1" max="1" width="5.125" style="30" customWidth="1"/>
    <col min="2" max="2" width="40.25390625" style="56" customWidth="1"/>
    <col min="3" max="3" width="18.75390625" style="20" customWidth="1"/>
    <col min="4" max="4" width="13.25390625" style="209" customWidth="1"/>
    <col min="5" max="5" width="7.125" style="209" customWidth="1"/>
    <col min="6" max="6" width="12.00390625" style="209" customWidth="1"/>
    <col min="7" max="7" width="8.25390625" style="21" customWidth="1"/>
    <col min="8" max="16" width="3.50390625" style="84" customWidth="1"/>
    <col min="17" max="17" width="7.125" style="84" customWidth="1"/>
    <col min="18" max="18" width="7.125" style="21" hidden="1" customWidth="1"/>
    <col min="19" max="19" width="7.75390625" style="21" customWidth="1"/>
    <col min="20" max="20" width="7.125" style="22" customWidth="1"/>
    <col min="21" max="21" width="11.875" style="10" customWidth="1"/>
    <col min="22" max="22" width="15.75390625" style="21" customWidth="1"/>
    <col min="23" max="93" width="94.25390625" style="21" customWidth="1"/>
    <col min="94" max="16384" width="94.25390625" style="20" customWidth="1"/>
  </cols>
  <sheetData>
    <row r="1" spans="1:20" ht="22.5" customHeight="1">
      <c r="A1" s="380" t="s">
        <v>200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59"/>
      <c r="R1" s="29"/>
      <c r="S1" s="29"/>
      <c r="T1" s="29"/>
    </row>
    <row r="2" spans="1:19" ht="20.25" customHeight="1">
      <c r="A2" s="333" t="s">
        <v>198</v>
      </c>
      <c r="B2" s="333"/>
      <c r="C2" s="333"/>
      <c r="D2" s="333"/>
      <c r="E2" s="333"/>
      <c r="F2" s="333"/>
      <c r="G2" s="333"/>
      <c r="H2" s="249"/>
      <c r="I2" s="194"/>
      <c r="J2" s="194"/>
      <c r="K2" s="194"/>
      <c r="L2" s="194"/>
      <c r="M2" s="250"/>
      <c r="N2" s="194"/>
      <c r="O2" s="194"/>
      <c r="P2" s="292" t="s">
        <v>201</v>
      </c>
      <c r="Q2" s="194"/>
      <c r="R2" s="163"/>
      <c r="S2" s="316"/>
    </row>
    <row r="3" spans="1:20" ht="12.75" customHeight="1">
      <c r="A3" s="381"/>
      <c r="B3" s="381" t="s">
        <v>74</v>
      </c>
      <c r="C3" s="382" t="s">
        <v>75</v>
      </c>
      <c r="D3" s="382"/>
      <c r="E3" s="382"/>
      <c r="F3" s="382"/>
      <c r="G3" s="382"/>
      <c r="H3" s="383" t="s">
        <v>76</v>
      </c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74" t="s">
        <v>77</v>
      </c>
      <c r="T3" s="374" t="s">
        <v>41</v>
      </c>
    </row>
    <row r="4" spans="1:21" s="21" customFormat="1" ht="18.75" customHeight="1">
      <c r="A4" s="381"/>
      <c r="B4" s="381"/>
      <c r="C4" s="57" t="s">
        <v>78</v>
      </c>
      <c r="D4" s="375" t="s">
        <v>141</v>
      </c>
      <c r="E4" s="375" t="s">
        <v>140</v>
      </c>
      <c r="F4" s="376" t="s">
        <v>79</v>
      </c>
      <c r="G4" s="377" t="s">
        <v>80</v>
      </c>
      <c r="H4" s="378" t="s">
        <v>81</v>
      </c>
      <c r="I4" s="378"/>
      <c r="J4" s="378"/>
      <c r="K4" s="378"/>
      <c r="L4" s="378"/>
      <c r="M4" s="378"/>
      <c r="N4" s="378"/>
      <c r="O4" s="378"/>
      <c r="P4" s="378"/>
      <c r="Q4" s="378" t="s">
        <v>82</v>
      </c>
      <c r="R4" s="379" t="s">
        <v>83</v>
      </c>
      <c r="S4" s="374"/>
      <c r="T4" s="374"/>
      <c r="U4" s="10"/>
    </row>
    <row r="5" spans="1:21" s="21" customFormat="1" ht="16.5" customHeight="1">
      <c r="A5" s="381"/>
      <c r="B5" s="381"/>
      <c r="C5" s="57" t="s">
        <v>84</v>
      </c>
      <c r="D5" s="375"/>
      <c r="E5" s="375"/>
      <c r="F5" s="376"/>
      <c r="G5" s="377"/>
      <c r="H5" s="58">
        <v>1</v>
      </c>
      <c r="I5" s="58">
        <v>2</v>
      </c>
      <c r="J5" s="58">
        <v>3</v>
      </c>
      <c r="K5" s="58">
        <v>4</v>
      </c>
      <c r="L5" s="58">
        <v>5</v>
      </c>
      <c r="M5" s="58">
        <v>6</v>
      </c>
      <c r="N5" s="58">
        <v>7</v>
      </c>
      <c r="O5" s="58">
        <v>8</v>
      </c>
      <c r="P5" s="58">
        <v>9</v>
      </c>
      <c r="Q5" s="378"/>
      <c r="R5" s="379"/>
      <c r="S5" s="374"/>
      <c r="T5" s="374"/>
      <c r="U5" s="10"/>
    </row>
    <row r="6" spans="1:93" s="36" customFormat="1" ht="18" customHeight="1">
      <c r="A6" s="321"/>
      <c r="B6" s="361" t="s">
        <v>85</v>
      </c>
      <c r="C6" s="361"/>
      <c r="D6" s="195"/>
      <c r="E6" s="195"/>
      <c r="F6" s="195"/>
      <c r="G6" s="40"/>
      <c r="H6" s="83"/>
      <c r="I6" s="83"/>
      <c r="J6" s="83"/>
      <c r="K6" s="83"/>
      <c r="L6" s="83"/>
      <c r="M6" s="83"/>
      <c r="N6" s="83"/>
      <c r="O6" s="83"/>
      <c r="P6" s="83"/>
      <c r="Q6" s="83"/>
      <c r="R6" s="40"/>
      <c r="S6" s="159"/>
      <c r="T6" s="334">
        <f>AVERAGE(S7)</f>
        <v>5</v>
      </c>
      <c r="U6" s="37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</row>
    <row r="7" spans="1:20" ht="17.25" customHeight="1">
      <c r="A7" s="53" t="s">
        <v>86</v>
      </c>
      <c r="B7" s="186" t="s">
        <v>87</v>
      </c>
      <c r="C7" s="210"/>
      <c r="D7" s="71"/>
      <c r="E7" s="71"/>
      <c r="F7" s="71"/>
      <c r="G7" s="62"/>
      <c r="H7" s="263">
        <v>1</v>
      </c>
      <c r="I7" s="263">
        <v>1</v>
      </c>
      <c r="J7" s="263">
        <v>1</v>
      </c>
      <c r="K7" s="263">
        <v>1</v>
      </c>
      <c r="L7" s="263">
        <v>1</v>
      </c>
      <c r="M7" s="263">
        <v>1</v>
      </c>
      <c r="N7" s="301">
        <v>1</v>
      </c>
      <c r="O7" s="263">
        <v>1</v>
      </c>
      <c r="P7" s="77"/>
      <c r="Q7" s="66">
        <f>SUM(H7:O7)</f>
        <v>8</v>
      </c>
      <c r="R7" s="31">
        <f>IF(Q7&gt;=8,5,IF(Q7&gt;=6,4,IF(Q7&gt;=4,3,IF(Q7&gt;=2,2,IF(Q7&gt;=1,1,0)))))</f>
        <v>5</v>
      </c>
      <c r="S7" s="335">
        <f>R7</f>
        <v>5</v>
      </c>
      <c r="T7" s="39" t="str">
        <f>IF(T6&gt;=4.51,"ดีมาก",IF(T6&gt;=3.51,"ดี",IF(T6&gt;=2.51,"พอใช้",IF(T6&gt;=1.51,"ควรปรับปรุง","ต้องปรับปรุง"))))</f>
        <v>ดีมาก</v>
      </c>
    </row>
    <row r="8" spans="1:93" s="36" customFormat="1" ht="17.25" customHeight="1">
      <c r="A8" s="321"/>
      <c r="B8" s="51" t="s">
        <v>89</v>
      </c>
      <c r="C8" s="51"/>
      <c r="D8" s="195"/>
      <c r="E8" s="195"/>
      <c r="F8" s="195"/>
      <c r="G8" s="40"/>
      <c r="H8" s="83"/>
      <c r="I8" s="83"/>
      <c r="J8" s="83"/>
      <c r="K8" s="83"/>
      <c r="L8" s="83"/>
      <c r="M8" s="83"/>
      <c r="N8" s="83"/>
      <c r="O8" s="83"/>
      <c r="P8" s="83"/>
      <c r="Q8" s="83"/>
      <c r="R8" s="40"/>
      <c r="S8" s="159"/>
      <c r="T8" s="334">
        <f>AVERAGE(S9,S14,S17,S18,S25,S32)</f>
        <v>5</v>
      </c>
      <c r="U8" s="37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</row>
    <row r="9" spans="1:20" ht="17.25" customHeight="1">
      <c r="A9" s="17" t="s">
        <v>86</v>
      </c>
      <c r="B9" s="18" t="s">
        <v>90</v>
      </c>
      <c r="C9" s="61"/>
      <c r="D9" s="196"/>
      <c r="E9" s="196"/>
      <c r="F9" s="196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48"/>
      <c r="S9" s="336">
        <f>IF(((D10&lt;&gt;0)*AND(D11&lt;&gt;0)),S10,S12)</f>
        <v>5</v>
      </c>
      <c r="T9" s="39"/>
    </row>
    <row r="10" spans="1:20" ht="17.25" customHeight="1">
      <c r="A10" s="251"/>
      <c r="B10" s="295" t="s">
        <v>166</v>
      </c>
      <c r="C10" s="55" t="s">
        <v>91</v>
      </c>
      <c r="D10" s="303">
        <v>13.5</v>
      </c>
      <c r="E10" s="71"/>
      <c r="F10" s="72">
        <f>D10/D11*100</f>
        <v>93.10344827586206</v>
      </c>
      <c r="G10" s="73">
        <f>F10*5/60</f>
        <v>7.758620689655173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5"/>
      <c r="S10" s="337">
        <f>IF(G10&gt;5,5,G10)</f>
        <v>5</v>
      </c>
      <c r="T10" s="35"/>
    </row>
    <row r="11" spans="1:20" ht="17.25" customHeight="1">
      <c r="A11" s="24"/>
      <c r="B11" s="302"/>
      <c r="C11" s="63" t="s">
        <v>92</v>
      </c>
      <c r="D11" s="293">
        <v>14.5</v>
      </c>
      <c r="E11" s="71"/>
      <c r="F11" s="74"/>
      <c r="G11" s="24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45"/>
      <c r="S11" s="338"/>
      <c r="T11" s="23"/>
    </row>
    <row r="12" spans="1:93" s="46" customFormat="1" ht="17.25" customHeight="1" hidden="1">
      <c r="A12" s="162"/>
      <c r="B12" s="372" t="s">
        <v>145</v>
      </c>
      <c r="C12" s="64" t="s">
        <v>144</v>
      </c>
      <c r="D12" s="304"/>
      <c r="E12" s="71"/>
      <c r="F12" s="197">
        <f>D12-D13</f>
        <v>0</v>
      </c>
      <c r="G12" s="198">
        <f>F12*5/12</f>
        <v>0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339">
        <f>IF(G12&gt;5,5,G12)</f>
        <v>0</v>
      </c>
      <c r="T12" s="28"/>
      <c r="U12" s="11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</row>
    <row r="13" spans="1:20" ht="17.25" customHeight="1" hidden="1">
      <c r="A13" s="162"/>
      <c r="B13" s="373"/>
      <c r="C13" s="55" t="s">
        <v>143</v>
      </c>
      <c r="D13" s="304"/>
      <c r="E13" s="71"/>
      <c r="F13" s="197"/>
      <c r="G13" s="198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49"/>
      <c r="S13" s="340"/>
      <c r="T13" s="23"/>
    </row>
    <row r="14" spans="1:93" s="44" customFormat="1" ht="17.25" customHeight="1">
      <c r="A14" s="17" t="s">
        <v>86</v>
      </c>
      <c r="B14" s="18" t="s">
        <v>93</v>
      </c>
      <c r="C14" s="61"/>
      <c r="D14" s="305"/>
      <c r="E14" s="196"/>
      <c r="F14" s="196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48"/>
      <c r="S14" s="336">
        <f>IF(((D15&lt;&gt;0)*AND(D16&lt;&gt;0)),S15,#REF!)</f>
        <v>5</v>
      </c>
      <c r="T14" s="39"/>
      <c r="U14" s="10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</row>
    <row r="15" spans="1:20" ht="18" customHeight="1">
      <c r="A15" s="162"/>
      <c r="B15" s="372" t="s">
        <v>167</v>
      </c>
      <c r="C15" s="55" t="s">
        <v>94</v>
      </c>
      <c r="D15" s="303">
        <v>5</v>
      </c>
      <c r="E15" s="71"/>
      <c r="F15" s="75">
        <f>D15/D16*100</f>
        <v>34.48275862068966</v>
      </c>
      <c r="G15" s="76">
        <f>F15*5/30</f>
        <v>5.74712643678161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5"/>
      <c r="S15" s="341">
        <f>IF(G15&gt;5,5,G15)</f>
        <v>5</v>
      </c>
      <c r="T15" s="28"/>
    </row>
    <row r="16" spans="1:20" ht="18" customHeight="1">
      <c r="A16" s="24"/>
      <c r="B16" s="373"/>
      <c r="C16" s="63" t="s">
        <v>92</v>
      </c>
      <c r="D16" s="293">
        <v>14.5</v>
      </c>
      <c r="E16" s="71"/>
      <c r="F16" s="74"/>
      <c r="G16" s="24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45"/>
      <c r="S16" s="338"/>
      <c r="T16" s="23"/>
    </row>
    <row r="17" spans="1:20" ht="22.5" customHeight="1">
      <c r="A17" s="322" t="s">
        <v>86</v>
      </c>
      <c r="B17" s="187" t="s">
        <v>95</v>
      </c>
      <c r="C17" s="62"/>
      <c r="D17" s="71"/>
      <c r="E17" s="71"/>
      <c r="F17" s="71"/>
      <c r="G17" s="62"/>
      <c r="H17" s="263">
        <v>1</v>
      </c>
      <c r="I17" s="263">
        <v>1</v>
      </c>
      <c r="J17" s="263">
        <v>1</v>
      </c>
      <c r="K17" s="263">
        <v>1</v>
      </c>
      <c r="L17" s="263">
        <v>1</v>
      </c>
      <c r="M17" s="263">
        <v>1</v>
      </c>
      <c r="N17" s="263">
        <v>1</v>
      </c>
      <c r="O17" s="26"/>
      <c r="P17" s="77"/>
      <c r="Q17" s="66">
        <f>SUM(H17:N17)</f>
        <v>7</v>
      </c>
      <c r="R17" s="31">
        <f>IF(Q17&gt;=7,5,IF(Q17&gt;=6,4,IF(Q17&gt;=4,3,IF(Q17&gt;=2,2,IF(Q17&gt;=1,1,0)))))</f>
        <v>5</v>
      </c>
      <c r="S17" s="335">
        <f>R17</f>
        <v>5</v>
      </c>
      <c r="T17" s="39"/>
    </row>
    <row r="18" spans="1:21" s="87" customFormat="1" ht="14.25" customHeight="1">
      <c r="A18" s="365" t="s">
        <v>88</v>
      </c>
      <c r="B18" s="362" t="s">
        <v>96</v>
      </c>
      <c r="C18" s="65" t="s">
        <v>97</v>
      </c>
      <c r="D18" s="78"/>
      <c r="E18" s="67">
        <f>SUM(E19:E22)</f>
        <v>3</v>
      </c>
      <c r="F18" s="79">
        <f>IF(E18=0,0,E18/D24*100)</f>
        <v>75</v>
      </c>
      <c r="G18" s="12">
        <f>F18/25*5</f>
        <v>15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41"/>
      <c r="S18" s="335">
        <f>IF(G18&gt;5,5,G18)</f>
        <v>5</v>
      </c>
      <c r="T18" s="35"/>
      <c r="U18" s="86"/>
    </row>
    <row r="19" spans="1:21" s="87" customFormat="1" ht="14.25" customHeight="1">
      <c r="A19" s="366"/>
      <c r="B19" s="367"/>
      <c r="C19" s="65" t="s">
        <v>98</v>
      </c>
      <c r="D19" s="260">
        <v>0</v>
      </c>
      <c r="E19" s="67">
        <f>D19*0.25</f>
        <v>0</v>
      </c>
      <c r="F19" s="78"/>
      <c r="G19" s="8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41"/>
      <c r="S19" s="342"/>
      <c r="T19" s="42"/>
      <c r="U19" s="86"/>
    </row>
    <row r="20" spans="1:21" s="87" customFormat="1" ht="14.25" customHeight="1">
      <c r="A20" s="90"/>
      <c r="B20" s="314" t="s">
        <v>164</v>
      </c>
      <c r="C20" s="65" t="s">
        <v>99</v>
      </c>
      <c r="D20" s="260">
        <v>0</v>
      </c>
      <c r="E20" s="67">
        <f>D20*0.5</f>
        <v>0</v>
      </c>
      <c r="F20" s="78"/>
      <c r="G20" s="8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41"/>
      <c r="S20" s="200"/>
      <c r="T20" s="42"/>
      <c r="U20" s="86"/>
    </row>
    <row r="21" spans="1:21" s="87" customFormat="1" ht="14.25" customHeight="1">
      <c r="A21" s="90"/>
      <c r="B21" s="91"/>
      <c r="C21" s="65" t="s">
        <v>100</v>
      </c>
      <c r="D21" s="260">
        <v>0</v>
      </c>
      <c r="E21" s="67">
        <f>D21*0.75</f>
        <v>0</v>
      </c>
      <c r="F21" s="78"/>
      <c r="G21" s="8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41"/>
      <c r="S21" s="200"/>
      <c r="T21" s="42"/>
      <c r="U21" s="86"/>
    </row>
    <row r="22" spans="1:21" s="87" customFormat="1" ht="14.25" customHeight="1">
      <c r="A22" s="90"/>
      <c r="B22" s="91"/>
      <c r="C22" s="65" t="s">
        <v>101</v>
      </c>
      <c r="D22" s="260">
        <v>3</v>
      </c>
      <c r="E22" s="67">
        <f>D22*1</f>
        <v>3</v>
      </c>
      <c r="F22" s="78"/>
      <c r="G22" s="8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41"/>
      <c r="S22" s="200"/>
      <c r="T22" s="42"/>
      <c r="U22" s="86"/>
    </row>
    <row r="23" spans="1:21" s="87" customFormat="1" ht="14.25" customHeight="1" hidden="1">
      <c r="A23" s="90"/>
      <c r="B23" s="91"/>
      <c r="C23" s="65"/>
      <c r="D23" s="260"/>
      <c r="E23" s="67"/>
      <c r="F23" s="78"/>
      <c r="G23" s="8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41"/>
      <c r="S23" s="200"/>
      <c r="T23" s="42"/>
      <c r="U23" s="86"/>
    </row>
    <row r="24" spans="1:21" s="87" customFormat="1" ht="14.25" customHeight="1">
      <c r="A24" s="88"/>
      <c r="B24" s="92"/>
      <c r="C24" s="65" t="s">
        <v>102</v>
      </c>
      <c r="D24" s="260">
        <v>4</v>
      </c>
      <c r="E24" s="78"/>
      <c r="F24" s="78"/>
      <c r="G24" s="43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41"/>
      <c r="S24" s="43"/>
      <c r="T24" s="93"/>
      <c r="U24" s="86"/>
    </row>
    <row r="25" spans="1:21" s="87" customFormat="1" ht="14.25" customHeight="1">
      <c r="A25" s="315" t="s">
        <v>88</v>
      </c>
      <c r="B25" s="359" t="s">
        <v>103</v>
      </c>
      <c r="C25" s="65" t="s">
        <v>97</v>
      </c>
      <c r="D25" s="294"/>
      <c r="E25" s="67">
        <f>SUM(E26:E29)</f>
        <v>5</v>
      </c>
      <c r="F25" s="79">
        <f>E25/D31*100</f>
        <v>250</v>
      </c>
      <c r="G25" s="12">
        <f>F25/50*5</f>
        <v>25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41"/>
      <c r="S25" s="342">
        <f>IF(G25&gt;5,5,G25)</f>
        <v>5</v>
      </c>
      <c r="T25" s="35"/>
      <c r="U25" s="86"/>
    </row>
    <row r="26" spans="1:21" s="87" customFormat="1" ht="14.25" customHeight="1">
      <c r="A26" s="90"/>
      <c r="B26" s="360"/>
      <c r="C26" s="65" t="s">
        <v>98</v>
      </c>
      <c r="D26" s="260">
        <v>0</v>
      </c>
      <c r="E26" s="67">
        <f>D26*0.25</f>
        <v>0</v>
      </c>
      <c r="F26" s="78"/>
      <c r="G26" s="8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41"/>
      <c r="S26" s="342"/>
      <c r="T26" s="42"/>
      <c r="U26" s="86"/>
    </row>
    <row r="27" spans="1:21" s="87" customFormat="1" ht="14.25" customHeight="1">
      <c r="A27" s="90"/>
      <c r="B27" s="314" t="s">
        <v>164</v>
      </c>
      <c r="C27" s="65" t="s">
        <v>99</v>
      </c>
      <c r="D27" s="260">
        <v>0</v>
      </c>
      <c r="E27" s="67">
        <f>D27*0.5</f>
        <v>0</v>
      </c>
      <c r="F27" s="78"/>
      <c r="G27" s="8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41"/>
      <c r="S27" s="342"/>
      <c r="T27" s="42"/>
      <c r="U27" s="86"/>
    </row>
    <row r="28" spans="1:21" s="87" customFormat="1" ht="14.25" customHeight="1">
      <c r="A28" s="90"/>
      <c r="B28" s="91"/>
      <c r="C28" s="65" t="s">
        <v>100</v>
      </c>
      <c r="D28" s="260">
        <v>0</v>
      </c>
      <c r="E28" s="67">
        <f>D28*0.75</f>
        <v>0</v>
      </c>
      <c r="F28" s="78"/>
      <c r="G28" s="8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41"/>
      <c r="S28" s="342"/>
      <c r="T28" s="42"/>
      <c r="U28" s="86"/>
    </row>
    <row r="29" spans="1:21" s="87" customFormat="1" ht="14.25" customHeight="1">
      <c r="A29" s="90"/>
      <c r="B29" s="91"/>
      <c r="C29" s="65" t="s">
        <v>101</v>
      </c>
      <c r="D29" s="260">
        <v>5</v>
      </c>
      <c r="E29" s="67">
        <f>D29*1</f>
        <v>5</v>
      </c>
      <c r="F29" s="78"/>
      <c r="G29" s="8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41"/>
      <c r="S29" s="342"/>
      <c r="T29" s="42"/>
      <c r="U29" s="86"/>
    </row>
    <row r="30" spans="1:21" s="87" customFormat="1" ht="14.25" customHeight="1" hidden="1">
      <c r="A30" s="90"/>
      <c r="B30" s="91"/>
      <c r="C30" s="65"/>
      <c r="D30" s="260"/>
      <c r="E30" s="67"/>
      <c r="F30" s="78"/>
      <c r="G30" s="8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41"/>
      <c r="S30" s="342"/>
      <c r="T30" s="42"/>
      <c r="U30" s="86"/>
    </row>
    <row r="31" spans="1:21" s="87" customFormat="1" ht="14.25" customHeight="1">
      <c r="A31" s="88"/>
      <c r="B31" s="92"/>
      <c r="C31" s="65" t="s">
        <v>104</v>
      </c>
      <c r="D31" s="260">
        <v>2</v>
      </c>
      <c r="E31" s="78"/>
      <c r="F31" s="78"/>
      <c r="G31" s="43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41"/>
      <c r="S31" s="343"/>
      <c r="T31" s="42"/>
      <c r="U31" s="86"/>
    </row>
    <row r="32" spans="1:21" s="87" customFormat="1" ht="14.25" customHeight="1">
      <c r="A32" s="315" t="s">
        <v>88</v>
      </c>
      <c r="B32" s="191" t="s">
        <v>105</v>
      </c>
      <c r="C32" s="65" t="s">
        <v>106</v>
      </c>
      <c r="D32" s="291"/>
      <c r="E32" s="311">
        <f>SUM(E33:E44)</f>
        <v>89.5</v>
      </c>
      <c r="F32" s="79">
        <f>IF(E32=0,0,E32/D45)</f>
        <v>6.172413793103448</v>
      </c>
      <c r="G32" s="12">
        <f>F32/6*5</f>
        <v>5.14367816091954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41"/>
      <c r="S32" s="342">
        <f>IF(G32&gt;5,5,G32)</f>
        <v>5</v>
      </c>
      <c r="T32" s="35"/>
      <c r="U32" s="94"/>
    </row>
    <row r="33" spans="1:21" s="87" customFormat="1" ht="14.25" customHeight="1">
      <c r="A33" s="90"/>
      <c r="B33" s="91"/>
      <c r="C33" s="310" t="s">
        <v>107</v>
      </c>
      <c r="D33" s="306">
        <v>0</v>
      </c>
      <c r="E33" s="312">
        <f>D33*0</f>
        <v>0</v>
      </c>
      <c r="F33" s="78"/>
      <c r="G33" s="200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41"/>
      <c r="S33" s="90"/>
      <c r="T33" s="42"/>
      <c r="U33" s="86"/>
    </row>
    <row r="34" spans="1:21" s="87" customFormat="1" ht="14.25" customHeight="1">
      <c r="A34" s="90"/>
      <c r="B34" s="91"/>
      <c r="C34" s="310" t="s">
        <v>108</v>
      </c>
      <c r="D34" s="306">
        <v>0</v>
      </c>
      <c r="E34" s="312">
        <f>D34*2</f>
        <v>0</v>
      </c>
      <c r="F34" s="78"/>
      <c r="G34" s="200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41"/>
      <c r="S34" s="90"/>
      <c r="T34" s="42"/>
      <c r="U34" s="86"/>
    </row>
    <row r="35" spans="1:21" s="87" customFormat="1" ht="14.25" customHeight="1">
      <c r="A35" s="90"/>
      <c r="B35" s="91"/>
      <c r="C35" s="310" t="s">
        <v>109</v>
      </c>
      <c r="D35" s="306">
        <v>4.5</v>
      </c>
      <c r="E35" s="312">
        <f>D35*5</f>
        <v>22.5</v>
      </c>
      <c r="F35" s="78"/>
      <c r="G35" s="200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41"/>
      <c r="S35" s="90"/>
      <c r="T35" s="42"/>
      <c r="U35" s="86"/>
    </row>
    <row r="36" spans="1:21" s="87" customFormat="1" ht="14.25" customHeight="1">
      <c r="A36" s="90"/>
      <c r="B36" s="91"/>
      <c r="C36" s="310" t="s">
        <v>110</v>
      </c>
      <c r="D36" s="306">
        <v>0</v>
      </c>
      <c r="E36" s="312">
        <f>D36*1</f>
        <v>0</v>
      </c>
      <c r="F36" s="78"/>
      <c r="G36" s="200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41"/>
      <c r="S36" s="90"/>
      <c r="T36" s="42"/>
      <c r="U36" s="86"/>
    </row>
    <row r="37" spans="1:21" s="87" customFormat="1" ht="14.25" customHeight="1">
      <c r="A37" s="90"/>
      <c r="B37" s="91"/>
      <c r="C37" s="310" t="s">
        <v>111</v>
      </c>
      <c r="D37" s="306">
        <v>1</v>
      </c>
      <c r="E37" s="312">
        <f>D37*3</f>
        <v>3</v>
      </c>
      <c r="F37" s="78"/>
      <c r="G37" s="200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41"/>
      <c r="S37" s="90"/>
      <c r="T37" s="42"/>
      <c r="U37" s="86"/>
    </row>
    <row r="38" spans="1:21" s="87" customFormat="1" ht="14.25" customHeight="1">
      <c r="A38" s="90"/>
      <c r="B38" s="91"/>
      <c r="C38" s="310" t="s">
        <v>112</v>
      </c>
      <c r="D38" s="306">
        <v>4</v>
      </c>
      <c r="E38" s="312">
        <f>D38*6</f>
        <v>24</v>
      </c>
      <c r="F38" s="78"/>
      <c r="G38" s="200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41"/>
      <c r="S38" s="90"/>
      <c r="T38" s="42"/>
      <c r="U38" s="86"/>
    </row>
    <row r="39" spans="1:21" s="87" customFormat="1" ht="14.25" customHeight="1">
      <c r="A39" s="90"/>
      <c r="B39" s="91"/>
      <c r="C39" s="310" t="s">
        <v>113</v>
      </c>
      <c r="D39" s="306">
        <v>0</v>
      </c>
      <c r="E39" s="312">
        <f>D39*3</f>
        <v>0</v>
      </c>
      <c r="F39" s="78"/>
      <c r="G39" s="200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41"/>
      <c r="S39" s="90"/>
      <c r="T39" s="42"/>
      <c r="U39" s="86"/>
    </row>
    <row r="40" spans="1:21" s="87" customFormat="1" ht="14.25" customHeight="1">
      <c r="A40" s="90"/>
      <c r="B40" s="91"/>
      <c r="C40" s="310" t="s">
        <v>114</v>
      </c>
      <c r="D40" s="306">
        <v>0</v>
      </c>
      <c r="E40" s="312">
        <f>D40*5</f>
        <v>0</v>
      </c>
      <c r="F40" s="78"/>
      <c r="G40" s="200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41"/>
      <c r="S40" s="90"/>
      <c r="T40" s="42"/>
      <c r="U40" s="86"/>
    </row>
    <row r="41" spans="1:21" s="87" customFormat="1" ht="14.25" customHeight="1">
      <c r="A41" s="90"/>
      <c r="B41" s="91"/>
      <c r="C41" s="310" t="s">
        <v>115</v>
      </c>
      <c r="D41" s="306">
        <v>5</v>
      </c>
      <c r="E41" s="312">
        <f>D41*8</f>
        <v>40</v>
      </c>
      <c r="F41" s="78"/>
      <c r="G41" s="200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41"/>
      <c r="S41" s="90"/>
      <c r="T41" s="42"/>
      <c r="U41" s="86"/>
    </row>
    <row r="42" spans="1:21" s="87" customFormat="1" ht="14.25" customHeight="1">
      <c r="A42" s="90"/>
      <c r="B42" s="91"/>
      <c r="C42" s="310" t="s">
        <v>116</v>
      </c>
      <c r="D42" s="306">
        <v>0</v>
      </c>
      <c r="E42" s="312">
        <f>D42*6</f>
        <v>0</v>
      </c>
      <c r="F42" s="78"/>
      <c r="G42" s="200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41"/>
      <c r="S42" s="90"/>
      <c r="T42" s="42"/>
      <c r="U42" s="86"/>
    </row>
    <row r="43" spans="1:21" s="87" customFormat="1" ht="14.25" customHeight="1">
      <c r="A43" s="90"/>
      <c r="B43" s="91"/>
      <c r="C43" s="310" t="s">
        <v>117</v>
      </c>
      <c r="D43" s="306">
        <v>0</v>
      </c>
      <c r="E43" s="312">
        <f>D43*8</f>
        <v>0</v>
      </c>
      <c r="F43" s="78"/>
      <c r="G43" s="200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41"/>
      <c r="S43" s="90"/>
      <c r="T43" s="42"/>
      <c r="U43" s="86"/>
    </row>
    <row r="44" spans="1:21" s="87" customFormat="1" ht="14.25" customHeight="1">
      <c r="A44" s="90"/>
      <c r="B44" s="91"/>
      <c r="C44" s="310" t="s">
        <v>118</v>
      </c>
      <c r="D44" s="306">
        <v>0</v>
      </c>
      <c r="E44" s="312">
        <f>D44*10</f>
        <v>0</v>
      </c>
      <c r="F44" s="78"/>
      <c r="G44" s="200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41"/>
      <c r="S44" s="90"/>
      <c r="T44" s="42"/>
      <c r="U44" s="86"/>
    </row>
    <row r="45" spans="1:21" s="87" customFormat="1" ht="14.25" customHeight="1">
      <c r="A45" s="88"/>
      <c r="B45" s="92"/>
      <c r="C45" s="65" t="s">
        <v>149</v>
      </c>
      <c r="D45" s="307">
        <v>14.5</v>
      </c>
      <c r="E45" s="78"/>
      <c r="F45" s="78"/>
      <c r="G45" s="43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41"/>
      <c r="S45" s="90"/>
      <c r="T45" s="42"/>
      <c r="U45" s="86"/>
    </row>
    <row r="46" spans="1:93" s="36" customFormat="1" ht="15" customHeight="1">
      <c r="A46" s="323"/>
      <c r="B46" s="51" t="s">
        <v>119</v>
      </c>
      <c r="C46" s="51"/>
      <c r="D46" s="201"/>
      <c r="E46" s="201"/>
      <c r="F46" s="201"/>
      <c r="G46" s="38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40"/>
      <c r="S46" s="344"/>
      <c r="T46" s="345">
        <f>AVERAGE(S47,S52,S59,S61)</f>
        <v>4.7701149425287355</v>
      </c>
      <c r="U46" s="37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</row>
    <row r="47" spans="1:93" s="107" customFormat="1" ht="30.75" customHeight="1">
      <c r="A47" s="324" t="s">
        <v>86</v>
      </c>
      <c r="B47" s="193" t="s">
        <v>120</v>
      </c>
      <c r="C47" s="211"/>
      <c r="D47" s="202"/>
      <c r="E47" s="202"/>
      <c r="F47" s="202"/>
      <c r="G47" s="203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104"/>
      <c r="S47" s="346">
        <f>IF((Q50&lt;&gt;0),S50,S50)</f>
        <v>5</v>
      </c>
      <c r="T47" s="347"/>
      <c r="U47" s="105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</row>
    <row r="48" spans="1:93" s="46" customFormat="1" ht="16.5" customHeight="1" hidden="1">
      <c r="A48" s="52"/>
      <c r="B48" s="160" t="s">
        <v>146</v>
      </c>
      <c r="C48" s="63" t="s">
        <v>121</v>
      </c>
      <c r="D48" s="205">
        <v>0</v>
      </c>
      <c r="E48" s="71"/>
      <c r="F48" s="75" t="e">
        <f>D48/D49</f>
        <v>#DIV/0!</v>
      </c>
      <c r="G48" s="76" t="e">
        <f>(F48*5/180000)</f>
        <v>#DIV/0!</v>
      </c>
      <c r="H48" s="206"/>
      <c r="I48" s="77"/>
      <c r="J48" s="77"/>
      <c r="K48" s="77"/>
      <c r="L48" s="77"/>
      <c r="M48" s="77"/>
      <c r="N48" s="77"/>
      <c r="O48" s="77"/>
      <c r="P48" s="77"/>
      <c r="Q48" s="77"/>
      <c r="R48" s="45"/>
      <c r="S48" s="341" t="e">
        <f>IF(G48&gt;5,5,G48)</f>
        <v>#DIV/0!</v>
      </c>
      <c r="T48" s="348"/>
      <c r="U48" s="11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</row>
    <row r="49" spans="1:93" s="98" customFormat="1" ht="16.5" customHeight="1" hidden="1">
      <c r="A49" s="52"/>
      <c r="B49" s="161"/>
      <c r="C49" s="95" t="s">
        <v>122</v>
      </c>
      <c r="D49" s="74">
        <v>0</v>
      </c>
      <c r="E49" s="71"/>
      <c r="F49" s="74"/>
      <c r="G49" s="27"/>
      <c r="H49" s="206"/>
      <c r="I49" s="77"/>
      <c r="J49" s="77"/>
      <c r="K49" s="77"/>
      <c r="L49" s="77"/>
      <c r="M49" s="77"/>
      <c r="N49" s="77"/>
      <c r="O49" s="77"/>
      <c r="P49" s="77"/>
      <c r="Q49" s="77"/>
      <c r="R49" s="45"/>
      <c r="S49" s="349"/>
      <c r="T49" s="347"/>
      <c r="U49" s="96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</row>
    <row r="50" spans="1:93" s="46" customFormat="1" ht="16.5" customHeight="1">
      <c r="A50" s="52"/>
      <c r="B50" s="160" t="s">
        <v>147</v>
      </c>
      <c r="C50" s="63" t="s">
        <v>121</v>
      </c>
      <c r="D50" s="354">
        <v>16196142.84</v>
      </c>
      <c r="E50" s="71"/>
      <c r="F50" s="75">
        <f>D50/D51</f>
        <v>1156867.3457142857</v>
      </c>
      <c r="G50" s="76">
        <f>(F50*5/150000)</f>
        <v>38.56224485714286</v>
      </c>
      <c r="H50" s="206"/>
      <c r="I50" s="77"/>
      <c r="J50" s="77"/>
      <c r="K50" s="77"/>
      <c r="L50" s="77"/>
      <c r="M50" s="77"/>
      <c r="N50" s="77"/>
      <c r="O50" s="77"/>
      <c r="P50" s="77"/>
      <c r="Q50" s="77"/>
      <c r="R50" s="45"/>
      <c r="S50" s="341">
        <f>IF(G50&gt;5,5,G50)</f>
        <v>5</v>
      </c>
      <c r="T50" s="348"/>
      <c r="U50" s="11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</row>
    <row r="51" spans="1:93" s="98" customFormat="1" ht="18.75" customHeight="1">
      <c r="A51" s="53"/>
      <c r="B51" s="161"/>
      <c r="C51" s="95" t="s">
        <v>122</v>
      </c>
      <c r="D51" s="293">
        <v>14</v>
      </c>
      <c r="E51" s="71"/>
      <c r="F51" s="74"/>
      <c r="G51" s="27"/>
      <c r="H51" s="206"/>
      <c r="I51" s="77"/>
      <c r="J51" s="77"/>
      <c r="K51" s="77"/>
      <c r="L51" s="77"/>
      <c r="M51" s="77"/>
      <c r="N51" s="77"/>
      <c r="O51" s="77"/>
      <c r="P51" s="77"/>
      <c r="Q51" s="77"/>
      <c r="R51" s="45"/>
      <c r="S51" s="349"/>
      <c r="T51" s="347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</row>
    <row r="52" spans="1:93" s="108" customFormat="1" ht="18.75" customHeight="1">
      <c r="A52" s="315" t="s">
        <v>88</v>
      </c>
      <c r="B52" s="191" t="s">
        <v>123</v>
      </c>
      <c r="C52" s="60"/>
      <c r="D52" s="294"/>
      <c r="E52" s="78"/>
      <c r="F52" s="102"/>
      <c r="G52" s="78"/>
      <c r="H52" s="206"/>
      <c r="I52" s="77"/>
      <c r="J52" s="77"/>
      <c r="K52" s="77"/>
      <c r="L52" s="77"/>
      <c r="M52" s="77"/>
      <c r="N52" s="77"/>
      <c r="O52" s="77"/>
      <c r="P52" s="77"/>
      <c r="Q52" s="77"/>
      <c r="R52" s="45"/>
      <c r="S52" s="350">
        <f>IF((Q53&lt;&gt;0),S53,S53)</f>
        <v>5</v>
      </c>
      <c r="T52" s="347"/>
      <c r="U52" s="10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</row>
    <row r="53" spans="1:93" s="108" customFormat="1" ht="18.75" customHeight="1">
      <c r="A53" s="90"/>
      <c r="B53" s="99" t="s">
        <v>148</v>
      </c>
      <c r="C53" s="100" t="s">
        <v>97</v>
      </c>
      <c r="D53" s="294"/>
      <c r="E53" s="150">
        <f>SUM(E54:E57)</f>
        <v>10.25</v>
      </c>
      <c r="F53" s="101">
        <f>IF(E53=0,0,E53/D58*100)</f>
        <v>70.6896551724138</v>
      </c>
      <c r="G53" s="80">
        <f>(F53*5/20)</f>
        <v>17.67241379310345</v>
      </c>
      <c r="H53" s="206"/>
      <c r="I53" s="77"/>
      <c r="J53" s="77"/>
      <c r="K53" s="77"/>
      <c r="L53" s="77"/>
      <c r="M53" s="77"/>
      <c r="N53" s="77"/>
      <c r="O53" s="77"/>
      <c r="P53" s="77"/>
      <c r="Q53" s="77"/>
      <c r="R53" s="45"/>
      <c r="S53" s="341">
        <f>IF(G53&gt;5,5,G53)</f>
        <v>5</v>
      </c>
      <c r="T53" s="347"/>
      <c r="U53" s="10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</row>
    <row r="54" spans="1:93" s="108" customFormat="1" ht="18.75" customHeight="1">
      <c r="A54" s="90"/>
      <c r="B54" s="91"/>
      <c r="C54" s="65" t="s">
        <v>98</v>
      </c>
      <c r="D54" s="260">
        <v>0</v>
      </c>
      <c r="E54" s="67">
        <f>D54*0.25</f>
        <v>0</v>
      </c>
      <c r="F54" s="102"/>
      <c r="G54" s="60"/>
      <c r="H54" s="206"/>
      <c r="I54" s="77"/>
      <c r="J54" s="77"/>
      <c r="K54" s="77"/>
      <c r="L54" s="77"/>
      <c r="M54" s="77"/>
      <c r="N54" s="77"/>
      <c r="O54" s="77"/>
      <c r="P54" s="77"/>
      <c r="Q54" s="77"/>
      <c r="R54" s="45"/>
      <c r="S54" s="27"/>
      <c r="T54" s="23"/>
      <c r="U54" s="10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</row>
    <row r="55" spans="1:93" s="108" customFormat="1" ht="18.75" customHeight="1">
      <c r="A55" s="90"/>
      <c r="B55" s="314" t="s">
        <v>164</v>
      </c>
      <c r="C55" s="65" t="s">
        <v>99</v>
      </c>
      <c r="D55" s="260">
        <v>0</v>
      </c>
      <c r="E55" s="67">
        <f>D55*0.5</f>
        <v>0</v>
      </c>
      <c r="F55" s="102"/>
      <c r="G55" s="60"/>
      <c r="H55" s="206"/>
      <c r="I55" s="77"/>
      <c r="J55" s="77"/>
      <c r="K55" s="77"/>
      <c r="L55" s="77"/>
      <c r="M55" s="77"/>
      <c r="N55" s="77"/>
      <c r="O55" s="77"/>
      <c r="P55" s="77"/>
      <c r="Q55" s="77"/>
      <c r="R55" s="45"/>
      <c r="S55" s="27"/>
      <c r="T55" s="23"/>
      <c r="U55" s="10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</row>
    <row r="56" spans="1:93" s="108" customFormat="1" ht="18.75" customHeight="1">
      <c r="A56" s="90"/>
      <c r="B56" s="91"/>
      <c r="C56" s="65" t="s">
        <v>100</v>
      </c>
      <c r="D56" s="260">
        <v>3</v>
      </c>
      <c r="E56" s="67">
        <f>D56*0.75</f>
        <v>2.25</v>
      </c>
      <c r="F56" s="102"/>
      <c r="G56" s="60"/>
      <c r="H56" s="206"/>
      <c r="I56" s="77"/>
      <c r="J56" s="77"/>
      <c r="K56" s="77"/>
      <c r="L56" s="77"/>
      <c r="M56" s="77"/>
      <c r="N56" s="77"/>
      <c r="O56" s="77"/>
      <c r="P56" s="77"/>
      <c r="Q56" s="77"/>
      <c r="R56" s="45"/>
      <c r="S56" s="27"/>
      <c r="T56" s="23"/>
      <c r="U56" s="10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</row>
    <row r="57" spans="1:93" s="108" customFormat="1" ht="18.75" customHeight="1">
      <c r="A57" s="90"/>
      <c r="B57" s="91"/>
      <c r="C57" s="65" t="s">
        <v>101</v>
      </c>
      <c r="D57" s="260">
        <v>8</v>
      </c>
      <c r="E57" s="67">
        <f>D57*1</f>
        <v>8</v>
      </c>
      <c r="F57" s="102"/>
      <c r="G57" s="60"/>
      <c r="H57" s="206"/>
      <c r="I57" s="77"/>
      <c r="J57" s="77"/>
      <c r="K57" s="77"/>
      <c r="L57" s="77"/>
      <c r="M57" s="77"/>
      <c r="N57" s="77"/>
      <c r="O57" s="77"/>
      <c r="P57" s="77"/>
      <c r="Q57" s="77"/>
      <c r="R57" s="45"/>
      <c r="S57" s="27"/>
      <c r="T57" s="23"/>
      <c r="U57" s="10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</row>
    <row r="58" spans="1:93" s="108" customFormat="1" ht="18.75" customHeight="1">
      <c r="A58" s="88"/>
      <c r="B58" s="85"/>
      <c r="C58" s="65" t="s">
        <v>124</v>
      </c>
      <c r="D58" s="293">
        <v>14.5</v>
      </c>
      <c r="E58" s="78"/>
      <c r="F58" s="199"/>
      <c r="G58" s="60"/>
      <c r="H58" s="206"/>
      <c r="I58" s="77"/>
      <c r="J58" s="77"/>
      <c r="K58" s="77"/>
      <c r="L58" s="77"/>
      <c r="M58" s="77"/>
      <c r="N58" s="77"/>
      <c r="O58" s="77"/>
      <c r="P58" s="77"/>
      <c r="Q58" s="77"/>
      <c r="R58" s="45"/>
      <c r="S58" s="27"/>
      <c r="T58" s="23"/>
      <c r="U58" s="10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</row>
    <row r="59" spans="1:21" s="87" customFormat="1" ht="15" customHeight="1">
      <c r="A59" s="90" t="s">
        <v>88</v>
      </c>
      <c r="B59" s="190" t="s">
        <v>125</v>
      </c>
      <c r="C59" s="65" t="s">
        <v>126</v>
      </c>
      <c r="D59" s="308">
        <v>3</v>
      </c>
      <c r="E59" s="102"/>
      <c r="F59" s="79">
        <f>D59/D60*100</f>
        <v>20.689655172413794</v>
      </c>
      <c r="G59" s="103">
        <f>F59/20*5</f>
        <v>5.172413793103448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41"/>
      <c r="S59" s="298" t="s">
        <v>70</v>
      </c>
      <c r="T59" s="35"/>
      <c r="U59" s="86"/>
    </row>
    <row r="60" spans="1:21" s="87" customFormat="1" ht="15" customHeight="1">
      <c r="A60" s="88"/>
      <c r="B60" s="314" t="s">
        <v>164</v>
      </c>
      <c r="C60" s="65" t="s">
        <v>124</v>
      </c>
      <c r="D60" s="293">
        <v>14.5</v>
      </c>
      <c r="E60" s="102"/>
      <c r="F60" s="207"/>
      <c r="G60" s="208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41"/>
      <c r="S60" s="43"/>
      <c r="T60" s="42"/>
      <c r="U60" s="86"/>
    </row>
    <row r="61" spans="1:21" s="87" customFormat="1" ht="14.25" customHeight="1">
      <c r="A61" s="315" t="s">
        <v>88</v>
      </c>
      <c r="B61" s="189" t="s">
        <v>127</v>
      </c>
      <c r="C61" s="65" t="s">
        <v>97</v>
      </c>
      <c r="D61" s="294"/>
      <c r="E61" s="67">
        <f>SUM(E62:E65)</f>
        <v>1.25</v>
      </c>
      <c r="F61" s="89">
        <f>IF(E61=0,0,E61/D66*100)</f>
        <v>8.620689655172415</v>
      </c>
      <c r="G61" s="76">
        <f>F61/10*5</f>
        <v>4.310344827586207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41"/>
      <c r="S61" s="335">
        <f>IF((G61)&gt;5,5,G61)</f>
        <v>4.310344827586207</v>
      </c>
      <c r="T61" s="35"/>
      <c r="U61" s="86"/>
    </row>
    <row r="62" spans="1:21" s="87" customFormat="1" ht="14.25" customHeight="1">
      <c r="A62" s="90"/>
      <c r="B62" s="314" t="s">
        <v>164</v>
      </c>
      <c r="C62" s="65" t="s">
        <v>98</v>
      </c>
      <c r="D62" s="308">
        <v>0</v>
      </c>
      <c r="E62" s="67">
        <f>SUM(D62:D62)*0.25</f>
        <v>0</v>
      </c>
      <c r="F62" s="78"/>
      <c r="G62" s="78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41"/>
      <c r="S62" s="200"/>
      <c r="T62" s="42"/>
      <c r="U62" s="86"/>
    </row>
    <row r="63" spans="1:21" s="87" customFormat="1" ht="14.25" customHeight="1">
      <c r="A63" s="90"/>
      <c r="B63" s="91"/>
      <c r="C63" s="65" t="s">
        <v>99</v>
      </c>
      <c r="D63" s="308">
        <v>1</v>
      </c>
      <c r="E63" s="67">
        <f>D63*0.5</f>
        <v>0.5</v>
      </c>
      <c r="F63" s="78"/>
      <c r="G63" s="78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41"/>
      <c r="S63" s="200"/>
      <c r="T63" s="42"/>
      <c r="U63" s="86"/>
    </row>
    <row r="64" spans="1:21" s="87" customFormat="1" ht="14.25" customHeight="1">
      <c r="A64" s="90"/>
      <c r="B64" s="91"/>
      <c r="C64" s="65" t="s">
        <v>100</v>
      </c>
      <c r="D64" s="308">
        <v>1</v>
      </c>
      <c r="E64" s="67">
        <f>D64*0.75</f>
        <v>0.75</v>
      </c>
      <c r="F64" s="78"/>
      <c r="G64" s="78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41"/>
      <c r="S64" s="200"/>
      <c r="T64" s="42"/>
      <c r="U64" s="86"/>
    </row>
    <row r="65" spans="1:21" s="87" customFormat="1" ht="14.25" customHeight="1">
      <c r="A65" s="90"/>
      <c r="B65" s="91"/>
      <c r="C65" s="65" t="s">
        <v>101</v>
      </c>
      <c r="D65" s="308">
        <v>0</v>
      </c>
      <c r="E65" s="67">
        <f>D65*1</f>
        <v>0</v>
      </c>
      <c r="F65" s="78"/>
      <c r="G65" s="7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41"/>
      <c r="S65" s="200"/>
      <c r="T65" s="42"/>
      <c r="U65" s="86"/>
    </row>
    <row r="66" spans="1:21" s="87" customFormat="1" ht="14.25" customHeight="1">
      <c r="A66" s="88"/>
      <c r="B66" s="85"/>
      <c r="C66" s="65" t="s">
        <v>124</v>
      </c>
      <c r="D66" s="293">
        <v>14.5</v>
      </c>
      <c r="E66" s="78"/>
      <c r="F66" s="78"/>
      <c r="G66" s="7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41"/>
      <c r="S66" s="43"/>
      <c r="T66" s="42"/>
      <c r="U66" s="86"/>
    </row>
    <row r="67" spans="1:93" s="36" customFormat="1" ht="16.5" customHeight="1">
      <c r="A67" s="321"/>
      <c r="B67" s="361" t="s">
        <v>128</v>
      </c>
      <c r="C67" s="361"/>
      <c r="D67" s="309"/>
      <c r="E67" s="195"/>
      <c r="F67" s="195"/>
      <c r="G67" s="40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40"/>
      <c r="S67" s="159"/>
      <c r="T67" s="351">
        <f>AVERAGE(S68:S68)</f>
        <v>5</v>
      </c>
      <c r="U67" s="225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</row>
    <row r="68" spans="1:21" s="87" customFormat="1" ht="30" customHeight="1">
      <c r="A68" s="54" t="s">
        <v>88</v>
      </c>
      <c r="B68" s="362" t="s">
        <v>129</v>
      </c>
      <c r="C68" s="65" t="s">
        <v>142</v>
      </c>
      <c r="D68" s="260">
        <v>2</v>
      </c>
      <c r="E68" s="78"/>
      <c r="F68" s="89">
        <f>IF(D68=0,0,D68/D69*100)</f>
        <v>100</v>
      </c>
      <c r="G68" s="67">
        <f>F68/30*5</f>
        <v>16.666666666666668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41"/>
      <c r="S68" s="335">
        <f>IF((G68)&gt;5,5,G68)</f>
        <v>5</v>
      </c>
      <c r="T68" s="35"/>
      <c r="U68" s="86"/>
    </row>
    <row r="69" spans="1:21" s="87" customFormat="1" ht="16.5" customHeight="1">
      <c r="A69" s="13"/>
      <c r="B69" s="363"/>
      <c r="C69" s="65" t="s">
        <v>130</v>
      </c>
      <c r="D69" s="260">
        <v>2</v>
      </c>
      <c r="E69" s="78"/>
      <c r="F69" s="78"/>
      <c r="G69" s="78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41"/>
      <c r="S69" s="88"/>
      <c r="T69" s="42"/>
      <c r="U69" s="86"/>
    </row>
    <row r="70" spans="1:93" s="36" customFormat="1" ht="15.75" customHeight="1">
      <c r="A70" s="321"/>
      <c r="B70" s="51" t="s">
        <v>131</v>
      </c>
      <c r="C70" s="164"/>
      <c r="D70" s="201"/>
      <c r="E70" s="201"/>
      <c r="F70" s="201"/>
      <c r="G70" s="38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38"/>
      <c r="S70" s="317"/>
      <c r="T70" s="351">
        <f>AVERAGE(S71:S71)</f>
        <v>5</v>
      </c>
      <c r="U70" s="37"/>
      <c r="V70" s="82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</row>
    <row r="71" spans="1:21" ht="15.75" customHeight="1">
      <c r="A71" s="17" t="s">
        <v>86</v>
      </c>
      <c r="B71" s="192" t="s">
        <v>132</v>
      </c>
      <c r="C71" s="62"/>
      <c r="D71" s="71"/>
      <c r="E71" s="71"/>
      <c r="F71" s="71"/>
      <c r="G71" s="62"/>
      <c r="H71" s="263">
        <v>1</v>
      </c>
      <c r="I71" s="263">
        <v>1</v>
      </c>
      <c r="J71" s="263">
        <v>1</v>
      </c>
      <c r="K71" s="263">
        <v>1</v>
      </c>
      <c r="L71" s="263">
        <v>1</v>
      </c>
      <c r="M71" s="261">
        <v>1</v>
      </c>
      <c r="N71" s="26"/>
      <c r="O71" s="26"/>
      <c r="P71" s="77"/>
      <c r="Q71" s="66">
        <f>SUM(H71:M71)</f>
        <v>6</v>
      </c>
      <c r="R71" s="31">
        <f>IF(Q71&gt;=6,5,IF(Q71&gt;=5,4,IF(Q71&gt;=3,3,IF(Q71&gt;=2,2,IF(Q71&gt;=1,1,0)))))</f>
        <v>5</v>
      </c>
      <c r="S71" s="336">
        <f>R71</f>
        <v>5</v>
      </c>
      <c r="T71" s="352"/>
      <c r="U71" s="14"/>
    </row>
    <row r="72" spans="1:93" s="36" customFormat="1" ht="16.5" customHeight="1">
      <c r="A72" s="323"/>
      <c r="B72" s="364" t="s">
        <v>133</v>
      </c>
      <c r="C72" s="364"/>
      <c r="D72" s="201"/>
      <c r="E72" s="201"/>
      <c r="F72" s="201"/>
      <c r="G72" s="38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38"/>
      <c r="S72" s="317"/>
      <c r="T72" s="334">
        <f>AVERAGE(S73:S73)</f>
        <v>5</v>
      </c>
      <c r="U72" s="37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</row>
    <row r="73" spans="1:21" s="267" customFormat="1" ht="21.75" customHeight="1">
      <c r="A73" s="50" t="s">
        <v>88</v>
      </c>
      <c r="B73" s="188" t="s">
        <v>134</v>
      </c>
      <c r="C73" s="212"/>
      <c r="D73" s="294"/>
      <c r="E73" s="78"/>
      <c r="F73" s="313">
        <f>AVERAGE(S7,S9,S14,S17,S47,S71)</f>
        <v>5</v>
      </c>
      <c r="G73" s="68">
        <f>F73</f>
        <v>5</v>
      </c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99">
        <f>IF(Q73&gt;=5,5,IF(Q73&gt;=4,4,IF(Q73&gt;=3,3,IF(Q73&gt;=2,2,IF(Q73&gt;=1,1,0)))))</f>
        <v>0</v>
      </c>
      <c r="S73" s="336">
        <f>G73</f>
        <v>5</v>
      </c>
      <c r="T73" s="352"/>
      <c r="U73" s="300"/>
    </row>
    <row r="74" spans="1:93" s="32" customFormat="1" ht="18" customHeight="1">
      <c r="A74" s="325"/>
      <c r="B74" s="368" t="s">
        <v>155</v>
      </c>
      <c r="C74" s="369"/>
      <c r="D74" s="252"/>
      <c r="E74" s="252"/>
      <c r="F74" s="252"/>
      <c r="G74" s="253"/>
      <c r="H74" s="254"/>
      <c r="I74" s="254"/>
      <c r="J74" s="254"/>
      <c r="K74" s="254"/>
      <c r="L74" s="254"/>
      <c r="M74" s="254"/>
      <c r="N74" s="254"/>
      <c r="O74" s="254"/>
      <c r="P74" s="254"/>
      <c r="Q74" s="255"/>
      <c r="R74" s="253"/>
      <c r="S74" s="318"/>
      <c r="T74" s="353">
        <f>F73</f>
        <v>5</v>
      </c>
      <c r="U74" s="34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</row>
    <row r="75" spans="1:93" s="30" customFormat="1" ht="18" customHeight="1">
      <c r="A75" s="31"/>
      <c r="B75" s="370"/>
      <c r="C75" s="371"/>
      <c r="D75" s="257"/>
      <c r="E75" s="257"/>
      <c r="F75" s="257"/>
      <c r="G75" s="256"/>
      <c r="H75" s="258"/>
      <c r="I75" s="258"/>
      <c r="J75" s="258"/>
      <c r="K75" s="258"/>
      <c r="L75" s="258"/>
      <c r="M75" s="258"/>
      <c r="N75" s="258"/>
      <c r="O75" s="258"/>
      <c r="P75" s="258"/>
      <c r="Q75" s="259"/>
      <c r="R75" s="256"/>
      <c r="S75" s="319"/>
      <c r="T75" s="116" t="str">
        <f>IF(T74&gt;=4.51,"ดีมาก",IF(T74&gt;=3.51,"ดี",IF(T74&gt;=2.51,"พอใช้",IF(T74&gt;=1.51,"ควรปรับปรุง","ต้องปรับปรุง"))))</f>
        <v>ดีมาก</v>
      </c>
      <c r="U75" s="10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</row>
    <row r="76" spans="1:93" s="30" customFormat="1" ht="18" customHeight="1">
      <c r="A76" s="326"/>
      <c r="B76" s="357" t="s">
        <v>135</v>
      </c>
      <c r="C76" s="264"/>
      <c r="D76" s="265"/>
      <c r="E76" s="265"/>
      <c r="F76" s="265"/>
      <c r="G76" s="264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4"/>
      <c r="S76" s="320"/>
      <c r="T76" s="353">
        <f>AVERAGE(S18,S25,S52,S61,S68)</f>
        <v>4.862068965517241</v>
      </c>
      <c r="U76" s="14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</row>
    <row r="77" spans="1:93" s="30" customFormat="1" ht="18" customHeight="1">
      <c r="A77" s="31"/>
      <c r="B77" s="358"/>
      <c r="C77" s="256"/>
      <c r="D77" s="257"/>
      <c r="E77" s="257"/>
      <c r="F77" s="257"/>
      <c r="G77" s="256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6"/>
      <c r="S77" s="319"/>
      <c r="T77" s="116" t="str">
        <f>IF(T76&gt;=4.51,"ดีมาก",IF(T76&gt;=3.51,"ดี",IF(T76&gt;=2.51,"พอใช้",IF(T76&gt;=1.51,"ควรปรับปรุง","ต้องปรับปรุง"))))</f>
        <v>ดีมาก</v>
      </c>
      <c r="U77" s="10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</row>
    <row r="78" spans="1:93" s="30" customFormat="1" ht="18" customHeight="1">
      <c r="A78" s="326"/>
      <c r="B78" s="357" t="s">
        <v>136</v>
      </c>
      <c r="C78" s="264"/>
      <c r="D78" s="265"/>
      <c r="E78" s="265"/>
      <c r="F78" s="265"/>
      <c r="G78" s="264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4"/>
      <c r="S78" s="320"/>
      <c r="T78" s="353">
        <f>AVERAGE(S18,S25,S32,S52,S61,S73)</f>
        <v>4.885057471264368</v>
      </c>
      <c r="U78" s="268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</row>
    <row r="79" spans="1:93" s="30" customFormat="1" ht="19.5" customHeight="1">
      <c r="A79" s="31"/>
      <c r="B79" s="358"/>
      <c r="C79" s="256"/>
      <c r="D79" s="257"/>
      <c r="E79" s="257"/>
      <c r="F79" s="257"/>
      <c r="G79" s="256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6"/>
      <c r="S79" s="319"/>
      <c r="T79" s="116" t="str">
        <f>IF(T78&gt;=4.51,"ดีมาก",IF(T78&gt;=3.51,"ดี",IF(T78&gt;=2.51,"พอใช้",IF(T78&gt;=1.51,"ควรปรับปรุง","ต้องปรับปรุง"))))</f>
        <v>ดีมาก</v>
      </c>
      <c r="U79" s="10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</row>
    <row r="80" ht="18" customHeight="1">
      <c r="B80" s="20"/>
    </row>
    <row r="81" ht="36.75" customHeight="1">
      <c r="B81" s="20"/>
    </row>
    <row r="82" ht="18" customHeight="1">
      <c r="B82" s="20"/>
    </row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/>
  <mergeCells count="26">
    <mergeCell ref="Q4:Q5"/>
    <mergeCell ref="R4:R5"/>
    <mergeCell ref="A1:P1"/>
    <mergeCell ref="A3:A5"/>
    <mergeCell ref="B3:B5"/>
    <mergeCell ref="C3:G3"/>
    <mergeCell ref="H3:R3"/>
    <mergeCell ref="B6:C6"/>
    <mergeCell ref="B12:B13"/>
    <mergeCell ref="B15:B16"/>
    <mergeCell ref="S3:S5"/>
    <mergeCell ref="T3:T5"/>
    <mergeCell ref="D4:D5"/>
    <mergeCell ref="E4:E5"/>
    <mergeCell ref="F4:F5"/>
    <mergeCell ref="G4:G5"/>
    <mergeCell ref="H4:P4"/>
    <mergeCell ref="B78:B79"/>
    <mergeCell ref="B25:B26"/>
    <mergeCell ref="B67:C67"/>
    <mergeCell ref="B68:B69"/>
    <mergeCell ref="B72:C72"/>
    <mergeCell ref="A18:A19"/>
    <mergeCell ref="B18:B19"/>
    <mergeCell ref="B76:B77"/>
    <mergeCell ref="B74:C75"/>
  </mergeCells>
  <conditionalFormatting sqref="S61 S25 S32 S14:S15 S7 S9:S10 S17:S18 S47 S68 S71 S73">
    <cfRule type="cellIs" priority="136" dxfId="2" operator="between" stopIfTrue="1">
      <formula>0</formula>
      <formula>2.5</formula>
    </cfRule>
    <cfRule type="cellIs" priority="137" dxfId="1" operator="between" stopIfTrue="1">
      <formula>2.51</formula>
      <formula>3.5</formula>
    </cfRule>
    <cfRule type="cellIs" priority="138" dxfId="0" operator="between" stopIfTrue="1">
      <formula>3.51</formula>
      <formula>5</formula>
    </cfRule>
  </conditionalFormatting>
  <conditionalFormatting sqref="S48">
    <cfRule type="cellIs" priority="118" dxfId="2" operator="between" stopIfTrue="1">
      <formula>0</formula>
      <formula>2.5</formula>
    </cfRule>
    <cfRule type="cellIs" priority="119" dxfId="1" operator="between" stopIfTrue="1">
      <formula>2.51</formula>
      <formula>3.5</formula>
    </cfRule>
    <cfRule type="cellIs" priority="120" dxfId="0" operator="between" stopIfTrue="1">
      <formula>3.51</formula>
      <formula>5</formula>
    </cfRule>
  </conditionalFormatting>
  <conditionalFormatting sqref="S50">
    <cfRule type="cellIs" priority="115" dxfId="2" operator="between" stopIfTrue="1">
      <formula>0</formula>
      <formula>2.5</formula>
    </cfRule>
    <cfRule type="cellIs" priority="116" dxfId="1" operator="between" stopIfTrue="1">
      <formula>2.51</formula>
      <formula>3.5</formula>
    </cfRule>
    <cfRule type="cellIs" priority="117" dxfId="0" operator="between" stopIfTrue="1">
      <formula>3.51</formula>
      <formula>5</formula>
    </cfRule>
  </conditionalFormatting>
  <conditionalFormatting sqref="S53">
    <cfRule type="cellIs" priority="112" dxfId="2" operator="between" stopIfTrue="1">
      <formula>0</formula>
      <formula>2.5</formula>
    </cfRule>
    <cfRule type="cellIs" priority="113" dxfId="1" operator="between" stopIfTrue="1">
      <formula>2.51</formula>
      <formula>3.5</formula>
    </cfRule>
    <cfRule type="cellIs" priority="114" dxfId="0" operator="between" stopIfTrue="1">
      <formula>3.51</formula>
      <formula>5</formula>
    </cfRule>
  </conditionalFormatting>
  <conditionalFormatting sqref="S12">
    <cfRule type="cellIs" priority="100" dxfId="2" operator="between" stopIfTrue="1">
      <formula>0</formula>
      <formula>2.5</formula>
    </cfRule>
    <cfRule type="cellIs" priority="101" dxfId="1" operator="between" stopIfTrue="1">
      <formula>2.51</formula>
      <formula>3.5</formula>
    </cfRule>
    <cfRule type="cellIs" priority="102" dxfId="0" operator="between" stopIfTrue="1">
      <formula>3.51</formula>
      <formula>5</formula>
    </cfRule>
  </conditionalFormatting>
  <conditionalFormatting sqref="S52">
    <cfRule type="cellIs" priority="88" dxfId="2" operator="between" stopIfTrue="1">
      <formula>0</formula>
      <formula>2.5</formula>
    </cfRule>
    <cfRule type="cellIs" priority="89" dxfId="1" operator="between" stopIfTrue="1">
      <formula>2.51</formula>
      <formula>3.5</formula>
    </cfRule>
    <cfRule type="cellIs" priority="90" dxfId="0" operator="between" stopIfTrue="1">
      <formula>3.51</formula>
      <formula>5</formula>
    </cfRule>
  </conditionalFormatting>
  <conditionalFormatting sqref="T72 T67 T70 T74 T76 T46 T8 T6">
    <cfRule type="cellIs" priority="4" dxfId="2" operator="between" stopIfTrue="1">
      <formula>0</formula>
      <formula>2.5</formula>
    </cfRule>
    <cfRule type="cellIs" priority="5" dxfId="1" operator="between" stopIfTrue="1">
      <formula>2.51</formula>
      <formula>3.5</formula>
    </cfRule>
    <cfRule type="cellIs" priority="6" dxfId="0" operator="between" stopIfTrue="1">
      <formula>3.51</formula>
      <formula>5</formula>
    </cfRule>
  </conditionalFormatting>
  <conditionalFormatting sqref="T78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 horizontalCentered="1"/>
  <pageMargins left="0.17" right="0.17" top="0.905511811023622" bottom="0.433070866141732" header="0.433070866141732" footer="0.236220472440945"/>
  <pageSetup horizontalDpi="600" verticalDpi="600" orientation="landscape" paperSize="9" scale="85" r:id="rId4"/>
  <rowBreaks count="1" manualBreakCount="1">
    <brk id="17" max="1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B1:K25"/>
  <sheetViews>
    <sheetView view="pageBreakPreview" zoomScaleNormal="145" zoomScaleSheetLayoutView="100" zoomScalePageLayoutView="0" workbookViewId="0" topLeftCell="A1">
      <selection activeCell="C11" sqref="C11:C12"/>
    </sheetView>
  </sheetViews>
  <sheetFormatPr defaultColWidth="9.00390625" defaultRowHeight="14.25"/>
  <cols>
    <col min="1" max="1" width="9.00390625" style="1" customWidth="1"/>
    <col min="2" max="2" width="15.25390625" style="214" customWidth="1"/>
    <col min="3" max="3" width="17.25390625" style="213" customWidth="1"/>
    <col min="4" max="4" width="13.625" style="214" customWidth="1"/>
    <col min="5" max="5" width="11.75390625" style="214" customWidth="1"/>
    <col min="6" max="6" width="7.375" style="214" hidden="1" customWidth="1"/>
    <col min="7" max="7" width="19.25390625" style="214" customWidth="1"/>
    <col min="8" max="8" width="9.00390625" style="109" customWidth="1"/>
    <col min="9" max="16384" width="9.00390625" style="1" customWidth="1"/>
  </cols>
  <sheetData>
    <row r="1" ht="22.5" customHeight="1">
      <c r="B1" s="248" t="s">
        <v>0</v>
      </c>
    </row>
    <row r="2" spans="2:7" ht="19.5" customHeight="1">
      <c r="B2" s="214" t="s">
        <v>1</v>
      </c>
      <c r="G2" s="213"/>
    </row>
    <row r="3" ht="19.5" customHeight="1">
      <c r="B3" s="226" t="s">
        <v>162</v>
      </c>
    </row>
    <row r="4" ht="6.75" customHeight="1">
      <c r="B4" s="213"/>
    </row>
    <row r="5" spans="2:7" ht="18.75" customHeight="1">
      <c r="B5" s="385" t="s">
        <v>2</v>
      </c>
      <c r="C5" s="385" t="s">
        <v>165</v>
      </c>
      <c r="D5" s="385" t="s">
        <v>4</v>
      </c>
      <c r="E5" s="385"/>
      <c r="F5" s="385"/>
      <c r="G5" s="385" t="s">
        <v>5</v>
      </c>
    </row>
    <row r="6" spans="2:7" ht="18.75" customHeight="1">
      <c r="B6" s="385"/>
      <c r="C6" s="385"/>
      <c r="D6" s="296" t="s">
        <v>6</v>
      </c>
      <c r="E6" s="385" t="s">
        <v>7</v>
      </c>
      <c r="F6" s="385"/>
      <c r="G6" s="385"/>
    </row>
    <row r="7" spans="2:11" ht="18.75" customHeight="1">
      <c r="B7" s="385"/>
      <c r="C7" s="386"/>
      <c r="D7" s="297" t="s">
        <v>8</v>
      </c>
      <c r="E7" s="386"/>
      <c r="F7" s="386"/>
      <c r="G7" s="386"/>
      <c r="K7" s="214"/>
    </row>
    <row r="8" spans="2:8" ht="21.75" customHeight="1">
      <c r="B8" s="215" t="s">
        <v>9</v>
      </c>
      <c r="C8" s="327" t="s">
        <v>168</v>
      </c>
      <c r="D8" s="387">
        <f>Form7!Q7</f>
        <v>8</v>
      </c>
      <c r="E8" s="388"/>
      <c r="F8" s="216">
        <f>Form7!S7</f>
        <v>5</v>
      </c>
      <c r="G8" s="217">
        <f>Form7!S7</f>
        <v>5</v>
      </c>
      <c r="H8" s="110"/>
    </row>
    <row r="9" spans="2:9" ht="21.75" customHeight="1">
      <c r="B9" s="389" t="s">
        <v>10</v>
      </c>
      <c r="C9" s="390" t="s">
        <v>169</v>
      </c>
      <c r="D9" s="220">
        <f>Form7!D10</f>
        <v>13.5</v>
      </c>
      <c r="E9" s="392">
        <f>Form7!F10</f>
        <v>93.10344827586206</v>
      </c>
      <c r="F9" s="394"/>
      <c r="G9" s="395">
        <f>Form7!S10</f>
        <v>5</v>
      </c>
      <c r="H9" s="384">
        <f>(E9/60)*5</f>
        <v>7.758620689655173</v>
      </c>
      <c r="I9" s="115" t="s">
        <v>150</v>
      </c>
    </row>
    <row r="10" spans="2:9" ht="21.75" customHeight="1">
      <c r="B10" s="389"/>
      <c r="C10" s="391"/>
      <c r="D10" s="220">
        <f>Form7!D11</f>
        <v>14.5</v>
      </c>
      <c r="E10" s="392"/>
      <c r="F10" s="394"/>
      <c r="G10" s="395"/>
      <c r="H10" s="384"/>
      <c r="I10" s="114"/>
    </row>
    <row r="11" spans="2:9" ht="21.75" customHeight="1">
      <c r="B11" s="389" t="s">
        <v>11</v>
      </c>
      <c r="C11" s="390" t="s">
        <v>199</v>
      </c>
      <c r="D11" s="220">
        <f>Form7!D15</f>
        <v>5</v>
      </c>
      <c r="E11" s="392">
        <f>Form7!F15</f>
        <v>34.48275862068966</v>
      </c>
      <c r="F11" s="394"/>
      <c r="G11" s="395">
        <f>Form7!S15</f>
        <v>5</v>
      </c>
      <c r="H11" s="384">
        <f>(E11/30)*5</f>
        <v>5.74712643678161</v>
      </c>
      <c r="I11" s="115" t="s">
        <v>150</v>
      </c>
    </row>
    <row r="12" spans="2:10" ht="21.75" customHeight="1">
      <c r="B12" s="389"/>
      <c r="C12" s="391"/>
      <c r="D12" s="220">
        <f>Form7!D16</f>
        <v>14.5</v>
      </c>
      <c r="E12" s="392"/>
      <c r="F12" s="394"/>
      <c r="G12" s="395"/>
      <c r="H12" s="384"/>
      <c r="J12" s="2"/>
    </row>
    <row r="13" spans="2:7" ht="21.75" customHeight="1">
      <c r="B13" s="215" t="s">
        <v>12</v>
      </c>
      <c r="C13" s="327" t="s">
        <v>170</v>
      </c>
      <c r="D13" s="387">
        <f>Form7!Q17</f>
        <v>7</v>
      </c>
      <c r="E13" s="388"/>
      <c r="F13" s="218"/>
      <c r="G13" s="219">
        <f>Form7!S17</f>
        <v>5</v>
      </c>
    </row>
    <row r="14" spans="2:11" ht="21.75" customHeight="1">
      <c r="B14" s="398" t="s">
        <v>13</v>
      </c>
      <c r="C14" s="399" t="s">
        <v>171</v>
      </c>
      <c r="D14" s="220">
        <f>Form7!D50</f>
        <v>16196142.84</v>
      </c>
      <c r="E14" s="392">
        <f>(D14/D15)</f>
        <v>1156867.3457142857</v>
      </c>
      <c r="F14" s="393">
        <f>(E14/75000)*5</f>
        <v>77.12448971428572</v>
      </c>
      <c r="G14" s="395">
        <f>Form7!S50</f>
        <v>5</v>
      </c>
      <c r="H14" s="111">
        <f>E14/180000*5</f>
        <v>32.13520404761905</v>
      </c>
      <c r="I14" s="115" t="s">
        <v>151</v>
      </c>
      <c r="K14" s="214"/>
    </row>
    <row r="15" spans="2:7" ht="21.75" customHeight="1">
      <c r="B15" s="398"/>
      <c r="C15" s="400"/>
      <c r="D15" s="220">
        <f>Form7!D51</f>
        <v>14</v>
      </c>
      <c r="E15" s="392"/>
      <c r="F15" s="393"/>
      <c r="G15" s="395"/>
    </row>
    <row r="16" spans="2:7" ht="21.75" customHeight="1">
      <c r="B16" s="215" t="s">
        <v>14</v>
      </c>
      <c r="C16" s="327" t="s">
        <v>172</v>
      </c>
      <c r="D16" s="387">
        <f>Form7!Q71</f>
        <v>6</v>
      </c>
      <c r="E16" s="401"/>
      <c r="F16" s="218"/>
      <c r="G16" s="219">
        <f>Form7!S71</f>
        <v>5</v>
      </c>
    </row>
    <row r="17" spans="2:8" ht="21.75" customHeight="1">
      <c r="B17" s="396" t="s">
        <v>15</v>
      </c>
      <c r="C17" s="397"/>
      <c r="D17" s="397"/>
      <c r="E17" s="397"/>
      <c r="F17" s="221"/>
      <c r="G17" s="222">
        <f>AVERAGE(G8:G16)</f>
        <v>5</v>
      </c>
      <c r="H17" s="112" t="e">
        <f>AVERAGE(G16:G16,#REF!,G8:G15)</f>
        <v>#REF!</v>
      </c>
    </row>
    <row r="19" spans="4:7" ht="20.25" customHeight="1">
      <c r="D19" s="214" t="s">
        <v>16</v>
      </c>
      <c r="G19" s="223">
        <f>SUM(G8:G16)</f>
        <v>30</v>
      </c>
    </row>
    <row r="20" spans="4:10" ht="20.25" customHeight="1">
      <c r="D20" s="214" t="s">
        <v>17</v>
      </c>
      <c r="G20" s="223">
        <f>COUNT(G8:G16)</f>
        <v>6</v>
      </c>
      <c r="H20" s="113"/>
      <c r="I20" s="1" t="s">
        <v>138</v>
      </c>
      <c r="J20" s="3">
        <f>AVERAGE(G8:G16)</f>
        <v>5</v>
      </c>
    </row>
    <row r="21" spans="4:7" ht="20.25" customHeight="1">
      <c r="D21" s="214" t="s">
        <v>18</v>
      </c>
      <c r="G21" s="223">
        <f>G19/G20</f>
        <v>5</v>
      </c>
    </row>
    <row r="25" ht="23.25">
      <c r="G25" s="224">
        <f>AVERAGE(G14:G16,G8:G13)</f>
        <v>5</v>
      </c>
    </row>
  </sheetData>
  <sheetProtection/>
  <mergeCells count="26">
    <mergeCell ref="B17:E17"/>
    <mergeCell ref="G14:G15"/>
    <mergeCell ref="B14:B15"/>
    <mergeCell ref="C14:C15"/>
    <mergeCell ref="D16:E16"/>
    <mergeCell ref="E14:E15"/>
    <mergeCell ref="E11:E12"/>
    <mergeCell ref="F14:F15"/>
    <mergeCell ref="D13:E13"/>
    <mergeCell ref="F11:F12"/>
    <mergeCell ref="G11:G12"/>
    <mergeCell ref="B9:B10"/>
    <mergeCell ref="C9:C10"/>
    <mergeCell ref="E9:E10"/>
    <mergeCell ref="F9:F10"/>
    <mergeCell ref="G9:G10"/>
    <mergeCell ref="H9:H10"/>
    <mergeCell ref="H11:H12"/>
    <mergeCell ref="B5:B7"/>
    <mergeCell ref="C5:C7"/>
    <mergeCell ref="G5:G7"/>
    <mergeCell ref="D8:E8"/>
    <mergeCell ref="D5:F5"/>
    <mergeCell ref="E6:F7"/>
    <mergeCell ref="B11:B12"/>
    <mergeCell ref="C11:C12"/>
  </mergeCells>
  <printOptions horizontalCentered="1"/>
  <pageMargins left="0.98" right="0.511811023622047" top="0.91" bottom="0.748031496062992" header="0.31496062992126" footer="0.31496062992126"/>
  <pageSetup horizontalDpi="600" verticalDpi="600" orientation="portrait" paperSize="9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B1:K29"/>
  <sheetViews>
    <sheetView view="pageBreakPreview" zoomScale="115" zoomScaleSheetLayoutView="115" zoomScalePageLayoutView="0" workbookViewId="0" topLeftCell="A7">
      <selection activeCell="F11" sqref="F11:F12"/>
    </sheetView>
  </sheetViews>
  <sheetFormatPr defaultColWidth="9.125" defaultRowHeight="14.25"/>
  <cols>
    <col min="1" max="1" width="2.00390625" style="129" customWidth="1"/>
    <col min="2" max="2" width="16.50390625" style="121" customWidth="1"/>
    <col min="3" max="3" width="13.75390625" style="121" customWidth="1"/>
    <col min="4" max="4" width="15.25390625" style="228" customWidth="1"/>
    <col min="5" max="5" width="12.875" style="228" customWidth="1"/>
    <col min="6" max="6" width="15.25390625" style="228" customWidth="1"/>
    <col min="7" max="8" width="4.625" style="269" customWidth="1"/>
    <col min="9" max="16384" width="9.125" style="129" customWidth="1"/>
  </cols>
  <sheetData>
    <row r="1" spans="2:6" ht="22.5" customHeight="1">
      <c r="B1" s="120" t="s">
        <v>0</v>
      </c>
      <c r="D1" s="121"/>
      <c r="E1" s="121"/>
      <c r="F1" s="121"/>
    </row>
    <row r="2" spans="2:5" ht="21" customHeight="1">
      <c r="B2" s="121" t="s">
        <v>1</v>
      </c>
      <c r="D2" s="227"/>
      <c r="E2" s="227"/>
    </row>
    <row r="3" spans="2:8" s="181" customFormat="1" ht="21.75" customHeight="1">
      <c r="B3" s="181" t="s">
        <v>156</v>
      </c>
      <c r="G3" s="180"/>
      <c r="H3" s="180"/>
    </row>
    <row r="4" spans="2:8" ht="19.5" customHeight="1">
      <c r="B4" s="413" t="s">
        <v>2</v>
      </c>
      <c r="C4" s="385" t="s">
        <v>165</v>
      </c>
      <c r="D4" s="413" t="s">
        <v>4</v>
      </c>
      <c r="E4" s="413"/>
      <c r="F4" s="413" t="s">
        <v>19</v>
      </c>
      <c r="G4" s="270" t="s">
        <v>152</v>
      </c>
      <c r="H4" s="270"/>
    </row>
    <row r="5" spans="2:8" ht="19.5" customHeight="1">
      <c r="B5" s="413"/>
      <c r="C5" s="385"/>
      <c r="D5" s="229" t="s">
        <v>6</v>
      </c>
      <c r="E5" s="229" t="s">
        <v>7</v>
      </c>
      <c r="F5" s="413"/>
      <c r="G5" s="270"/>
      <c r="H5" s="270" t="s">
        <v>153</v>
      </c>
    </row>
    <row r="6" spans="2:6" ht="19.5" customHeight="1">
      <c r="B6" s="413"/>
      <c r="C6" s="386"/>
      <c r="D6" s="230" t="s">
        <v>8</v>
      </c>
      <c r="E6" s="230" t="s">
        <v>72</v>
      </c>
      <c r="F6" s="414"/>
    </row>
    <row r="7" spans="2:9" ht="20.25" customHeight="1">
      <c r="B7" s="408" t="s">
        <v>20</v>
      </c>
      <c r="C7" s="417" t="s">
        <v>173</v>
      </c>
      <c r="D7" s="233">
        <f>Form7!E18</f>
        <v>3</v>
      </c>
      <c r="E7" s="404">
        <f>Form7!F18</f>
        <v>75</v>
      </c>
      <c r="F7" s="405">
        <f>Form7!S18</f>
        <v>5</v>
      </c>
      <c r="G7" s="269">
        <v>1</v>
      </c>
      <c r="H7" s="269">
        <v>1</v>
      </c>
      <c r="I7" s="419">
        <f>Form7!G18</f>
        <v>15</v>
      </c>
    </row>
    <row r="8" spans="2:9" ht="20.25" customHeight="1">
      <c r="B8" s="408"/>
      <c r="C8" s="418"/>
      <c r="D8" s="233">
        <f>Form7!D24</f>
        <v>4</v>
      </c>
      <c r="E8" s="404"/>
      <c r="F8" s="405"/>
      <c r="I8" s="420"/>
    </row>
    <row r="9" spans="2:9" ht="20.25" customHeight="1">
      <c r="B9" s="408" t="s">
        <v>21</v>
      </c>
      <c r="C9" s="409" t="s">
        <v>174</v>
      </c>
      <c r="D9" s="233">
        <f>Form7!E25</f>
        <v>5</v>
      </c>
      <c r="E9" s="404">
        <f>Form7!F25</f>
        <v>250</v>
      </c>
      <c r="F9" s="405">
        <f>Form7!S25</f>
        <v>5</v>
      </c>
      <c r="G9" s="269">
        <v>1</v>
      </c>
      <c r="H9" s="269">
        <v>1</v>
      </c>
      <c r="I9" s="419">
        <f>E9*5/50</f>
        <v>25</v>
      </c>
    </row>
    <row r="10" spans="2:9" ht="20.25" customHeight="1">
      <c r="B10" s="408"/>
      <c r="C10" s="410"/>
      <c r="D10" s="233">
        <f>Form7!D31</f>
        <v>2</v>
      </c>
      <c r="E10" s="404"/>
      <c r="F10" s="405"/>
      <c r="I10" s="420"/>
    </row>
    <row r="11" spans="2:9" ht="20.25" customHeight="1">
      <c r="B11" s="408" t="s">
        <v>22</v>
      </c>
      <c r="C11" s="409" t="s">
        <v>175</v>
      </c>
      <c r="D11" s="233">
        <f>Form7!E53</f>
        <v>10.25</v>
      </c>
      <c r="E11" s="404">
        <f>Form7!F53</f>
        <v>70.6896551724138</v>
      </c>
      <c r="F11" s="405">
        <f>Form7!S52</f>
        <v>5</v>
      </c>
      <c r="G11" s="269">
        <v>1</v>
      </c>
      <c r="H11" s="269">
        <v>1</v>
      </c>
      <c r="I11" s="405">
        <f>E11*5/20</f>
        <v>17.67241379310345</v>
      </c>
    </row>
    <row r="12" spans="2:9" ht="20.25" customHeight="1">
      <c r="B12" s="408"/>
      <c r="C12" s="410"/>
      <c r="D12" s="233">
        <f>Form7!D58</f>
        <v>14.5</v>
      </c>
      <c r="E12" s="404"/>
      <c r="F12" s="405"/>
      <c r="I12" s="405"/>
    </row>
    <row r="13" spans="2:9" ht="20.25" customHeight="1">
      <c r="B13" s="408" t="s">
        <v>23</v>
      </c>
      <c r="C13" s="411" t="s">
        <v>176</v>
      </c>
      <c r="D13" s="233">
        <f>Form7!E61</f>
        <v>1.25</v>
      </c>
      <c r="E13" s="404">
        <f>Form7!F61</f>
        <v>8.620689655172415</v>
      </c>
      <c r="F13" s="405">
        <f>Form7!S61</f>
        <v>4.310344827586207</v>
      </c>
      <c r="G13" s="269">
        <v>1</v>
      </c>
      <c r="H13" s="269">
        <v>1</v>
      </c>
      <c r="I13" s="402">
        <f>(E13/10)*5</f>
        <v>4.310344827586207</v>
      </c>
    </row>
    <row r="14" spans="2:9" ht="20.25" customHeight="1">
      <c r="B14" s="408"/>
      <c r="C14" s="412"/>
      <c r="D14" s="233">
        <f>Form7!D66</f>
        <v>14.5</v>
      </c>
      <c r="E14" s="404"/>
      <c r="F14" s="405"/>
      <c r="I14" s="403"/>
    </row>
    <row r="15" spans="2:9" ht="20.25" customHeight="1">
      <c r="B15" s="408" t="s">
        <v>24</v>
      </c>
      <c r="C15" s="411" t="s">
        <v>177</v>
      </c>
      <c r="D15" s="233">
        <f>Form7!D68</f>
        <v>2</v>
      </c>
      <c r="E15" s="404">
        <f>Form7!F68</f>
        <v>100</v>
      </c>
      <c r="F15" s="405">
        <f>Form7!S68</f>
        <v>5</v>
      </c>
      <c r="G15" s="269">
        <v>1</v>
      </c>
      <c r="H15" s="269">
        <v>1</v>
      </c>
      <c r="I15" s="402">
        <f>E15/30*5</f>
        <v>16.666666666666668</v>
      </c>
    </row>
    <row r="16" spans="2:9" ht="20.25" customHeight="1">
      <c r="B16" s="408"/>
      <c r="C16" s="412"/>
      <c r="D16" s="233">
        <f>Form7!D69</f>
        <v>2</v>
      </c>
      <c r="E16" s="404"/>
      <c r="F16" s="405"/>
      <c r="I16" s="403"/>
    </row>
    <row r="17" spans="2:9" ht="19.5" customHeight="1">
      <c r="B17" s="408" t="s">
        <v>25</v>
      </c>
      <c r="C17" s="421" t="s">
        <v>178</v>
      </c>
      <c r="D17" s="232">
        <f>Form7!E32</f>
        <v>89.5</v>
      </c>
      <c r="E17" s="404">
        <f>Form7!F32</f>
        <v>6.172413793103448</v>
      </c>
      <c r="F17" s="405">
        <f>Form7!S32</f>
        <v>5</v>
      </c>
      <c r="G17" s="269">
        <v>1</v>
      </c>
      <c r="H17" s="269">
        <v>1</v>
      </c>
      <c r="I17" s="402">
        <f>Form7!G32</f>
        <v>5.14367816091954</v>
      </c>
    </row>
    <row r="18" spans="2:9" ht="19.5" customHeight="1">
      <c r="B18" s="408"/>
      <c r="C18" s="422"/>
      <c r="D18" s="232">
        <f>Form7!D45</f>
        <v>14.5</v>
      </c>
      <c r="E18" s="404"/>
      <c r="F18" s="405"/>
      <c r="I18" s="403"/>
    </row>
    <row r="19" spans="2:8" ht="46.5">
      <c r="B19" s="231" t="s">
        <v>26</v>
      </c>
      <c r="C19" s="328" t="s">
        <v>179</v>
      </c>
      <c r="D19" s="415">
        <f>Form7!F73</f>
        <v>5</v>
      </c>
      <c r="E19" s="416"/>
      <c r="F19" s="127">
        <f>Form7!S73</f>
        <v>5</v>
      </c>
      <c r="G19" s="269">
        <v>1</v>
      </c>
      <c r="H19" s="269">
        <v>1</v>
      </c>
    </row>
    <row r="20" spans="2:6" ht="24" customHeight="1">
      <c r="B20" s="406" t="s">
        <v>135</v>
      </c>
      <c r="C20" s="407"/>
      <c r="D20" s="407"/>
      <c r="E20" s="407"/>
      <c r="F20" s="234">
        <f>AVERAGE(F7,F9,F11,F13,F15)</f>
        <v>4.862068965517241</v>
      </c>
    </row>
    <row r="21" spans="2:6" ht="24" customHeight="1">
      <c r="B21" s="406" t="s">
        <v>136</v>
      </c>
      <c r="C21" s="407"/>
      <c r="D21" s="407"/>
      <c r="E21" s="407"/>
      <c r="F21" s="234">
        <f>AVERAGE(F7,F9,F11,F13,F15,F17,F19)</f>
        <v>4.901477832512315</v>
      </c>
    </row>
    <row r="22" spans="2:6" ht="19.5" customHeight="1">
      <c r="B22" s="235"/>
      <c r="C22" s="236"/>
      <c r="D22" s="235"/>
      <c r="E22" s="235"/>
      <c r="F22" s="235"/>
    </row>
    <row r="23" spans="2:8" s="240" customFormat="1" ht="18.75" customHeight="1">
      <c r="B23" s="237"/>
      <c r="C23" s="237"/>
      <c r="D23" s="238"/>
      <c r="E23" s="238" t="s">
        <v>137</v>
      </c>
      <c r="F23" s="239"/>
      <c r="G23" s="271"/>
      <c r="H23" s="271"/>
    </row>
    <row r="24" spans="2:11" s="240" customFormat="1" ht="18.75" customHeight="1">
      <c r="B24" s="237"/>
      <c r="C24" s="237"/>
      <c r="D24" s="238"/>
      <c r="E24" s="238"/>
      <c r="F24" s="239"/>
      <c r="G24" s="271"/>
      <c r="H24" s="271"/>
      <c r="I24" s="241"/>
      <c r="J24" s="242"/>
      <c r="K24" s="241"/>
    </row>
    <row r="25" spans="2:11" s="240" customFormat="1" ht="18.75" customHeight="1">
      <c r="B25" s="237"/>
      <c r="C25" s="237"/>
      <c r="D25" s="238"/>
      <c r="E25" s="238"/>
      <c r="F25" s="243"/>
      <c r="G25" s="271"/>
      <c r="H25" s="271"/>
      <c r="I25" s="237"/>
      <c r="J25" s="241"/>
      <c r="K25" s="241"/>
    </row>
    <row r="26" spans="2:10" s="240" customFormat="1" ht="18.75" customHeight="1">
      <c r="B26" s="237"/>
      <c r="C26" s="237"/>
      <c r="D26" s="238"/>
      <c r="E26" s="238"/>
      <c r="G26" s="271"/>
      <c r="H26" s="271"/>
      <c r="I26" s="244">
        <f>H27/G27</f>
        <v>1</v>
      </c>
      <c r="J26" s="242"/>
    </row>
    <row r="27" spans="2:9" s="240" customFormat="1" ht="18.75" customHeight="1">
      <c r="B27" s="237"/>
      <c r="C27" s="237"/>
      <c r="D27" s="238"/>
      <c r="E27" s="238"/>
      <c r="F27" s="245" t="s">
        <v>154</v>
      </c>
      <c r="G27" s="271">
        <f>SUM(G2:G19)</f>
        <v>7</v>
      </c>
      <c r="H27" s="271">
        <f>SUM(H2:H19)</f>
        <v>7</v>
      </c>
      <c r="I27" s="246" t="s">
        <v>138</v>
      </c>
    </row>
    <row r="28" spans="2:10" s="240" customFormat="1" ht="18.75" customHeight="1">
      <c r="B28" s="237"/>
      <c r="C28" s="237"/>
      <c r="D28" s="238"/>
      <c r="E28" s="238"/>
      <c r="F28" s="238"/>
      <c r="G28" s="271"/>
      <c r="H28" s="271"/>
      <c r="J28" s="247"/>
    </row>
    <row r="29" spans="7:11" ht="18.75" customHeight="1">
      <c r="G29" s="227"/>
      <c r="H29" s="227"/>
      <c r="I29" s="228"/>
      <c r="J29" s="228"/>
      <c r="K29" s="228"/>
    </row>
    <row r="33" ht="23.25"/>
    <row r="34" ht="23.25"/>
    <row r="35" ht="23.25"/>
  </sheetData>
  <sheetProtection/>
  <mergeCells count="37">
    <mergeCell ref="C15:C16"/>
    <mergeCell ref="C9:C10"/>
    <mergeCell ref="C17:C18"/>
    <mergeCell ref="E17:E18"/>
    <mergeCell ref="F17:F18"/>
    <mergeCell ref="F13:F14"/>
    <mergeCell ref="F15:F16"/>
    <mergeCell ref="I17:I18"/>
    <mergeCell ref="B7:B8"/>
    <mergeCell ref="C7:C8"/>
    <mergeCell ref="E11:E12"/>
    <mergeCell ref="B17:B18"/>
    <mergeCell ref="B9:B10"/>
    <mergeCell ref="E9:E10"/>
    <mergeCell ref="I9:I10"/>
    <mergeCell ref="I7:I8"/>
    <mergeCell ref="I15:I16"/>
    <mergeCell ref="B20:E20"/>
    <mergeCell ref="F9:F10"/>
    <mergeCell ref="E15:E16"/>
    <mergeCell ref="B4:B6"/>
    <mergeCell ref="C4:C6"/>
    <mergeCell ref="D4:E4"/>
    <mergeCell ref="F4:F6"/>
    <mergeCell ref="B15:B16"/>
    <mergeCell ref="F11:F12"/>
    <mergeCell ref="D19:E19"/>
    <mergeCell ref="I13:I14"/>
    <mergeCell ref="E7:E8"/>
    <mergeCell ref="F7:F8"/>
    <mergeCell ref="E13:E14"/>
    <mergeCell ref="I11:I12"/>
    <mergeCell ref="B21:E21"/>
    <mergeCell ref="B11:B12"/>
    <mergeCell ref="C11:C12"/>
    <mergeCell ref="B13:B14"/>
    <mergeCell ref="C13:C14"/>
  </mergeCells>
  <printOptions horizontalCentered="1"/>
  <pageMargins left="0.98" right="0.708661417322835" top="0.81" bottom="0.32" header="0.31496062992126" footer="0.31496062992126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I39"/>
  <sheetViews>
    <sheetView view="pageBreakPreview" zoomScale="115" zoomScaleSheetLayoutView="115" zoomScalePageLayoutView="0" workbookViewId="0" topLeftCell="A22">
      <selection activeCell="C9" sqref="C9:C10"/>
    </sheetView>
  </sheetViews>
  <sheetFormatPr defaultColWidth="9.00390625" defaultRowHeight="14.25"/>
  <cols>
    <col min="1" max="1" width="16.50390625" style="121" customWidth="1"/>
    <col min="2" max="2" width="15.25390625" style="121" customWidth="1"/>
    <col min="3" max="3" width="14.125" style="129" customWidth="1"/>
    <col min="4" max="4" width="14.00390625" style="129" customWidth="1"/>
    <col min="5" max="5" width="16.375" style="121" customWidth="1"/>
    <col min="6" max="7" width="9.00390625" style="15" customWidth="1"/>
    <col min="8" max="16384" width="9.00390625" style="4" customWidth="1"/>
  </cols>
  <sheetData>
    <row r="1" spans="1:4" ht="22.5">
      <c r="A1" s="120" t="s">
        <v>0</v>
      </c>
      <c r="C1" s="121"/>
      <c r="D1" s="121"/>
    </row>
    <row r="2" spans="1:7" s="183" customFormat="1" ht="21" customHeight="1">
      <c r="A2" s="181" t="s">
        <v>1</v>
      </c>
      <c r="B2" s="181"/>
      <c r="C2" s="180"/>
      <c r="D2" s="180"/>
      <c r="E2" s="181"/>
      <c r="F2" s="182"/>
      <c r="G2" s="182"/>
    </row>
    <row r="3" spans="1:7" s="183" customFormat="1" ht="21" customHeight="1">
      <c r="A3" s="181" t="s">
        <v>194</v>
      </c>
      <c r="B3" s="184"/>
      <c r="C3" s="185"/>
      <c r="D3" s="185"/>
      <c r="E3" s="184"/>
      <c r="F3" s="182"/>
      <c r="G3" s="182"/>
    </row>
    <row r="4" spans="1:7" ht="18" customHeight="1">
      <c r="A4" s="423" t="s">
        <v>2</v>
      </c>
      <c r="B4" s="423" t="s">
        <v>3</v>
      </c>
      <c r="C4" s="423" t="s">
        <v>4</v>
      </c>
      <c r="D4" s="423"/>
      <c r="E4" s="423" t="s">
        <v>5</v>
      </c>
      <c r="F4" s="15" t="s">
        <v>139</v>
      </c>
      <c r="G4" s="15" t="s">
        <v>139</v>
      </c>
    </row>
    <row r="5" spans="1:7" ht="18" customHeight="1">
      <c r="A5" s="423"/>
      <c r="B5" s="423"/>
      <c r="C5" s="123" t="s">
        <v>6</v>
      </c>
      <c r="D5" s="123" t="s">
        <v>7</v>
      </c>
      <c r="E5" s="423"/>
      <c r="G5" s="329" t="s">
        <v>193</v>
      </c>
    </row>
    <row r="6" spans="1:5" ht="18" customHeight="1">
      <c r="A6" s="423"/>
      <c r="B6" s="423"/>
      <c r="C6" s="123" t="s">
        <v>8</v>
      </c>
      <c r="D6" s="123" t="s">
        <v>72</v>
      </c>
      <c r="E6" s="423"/>
    </row>
    <row r="7" spans="1:9" ht="21" customHeight="1">
      <c r="A7" s="124" t="s">
        <v>180</v>
      </c>
      <c r="B7" s="330" t="str">
        <f>'ส1_เฉพาะเกณฑ์_สกอ.'!C8</f>
        <v>8 ข้อ/5 คะแนน</v>
      </c>
      <c r="C7" s="424">
        <f>'ส1_เฉพาะเกณฑ์_สกอ.'!D8</f>
        <v>8</v>
      </c>
      <c r="D7" s="425"/>
      <c r="E7" s="165">
        <f>'ส1_เฉพาะเกณฑ์_สกอ.'!G8</f>
        <v>5</v>
      </c>
      <c r="F7" s="15">
        <v>1</v>
      </c>
      <c r="G7" s="15">
        <v>0</v>
      </c>
      <c r="I7" s="4">
        <f>43-6</f>
        <v>37</v>
      </c>
    </row>
    <row r="8" spans="1:7" ht="21" customHeight="1">
      <c r="A8" s="426" t="s">
        <v>181</v>
      </c>
      <c r="B8" s="427" t="str">
        <f>'ส1_เฉพาะเกณฑ์_สกอ.'!C9</f>
        <v>&gt;60%/ 5 คะแนน</v>
      </c>
      <c r="C8" s="126">
        <f>'ส1_เฉพาะเกณฑ์_สกอ.'!D9</f>
        <v>13.5</v>
      </c>
      <c r="D8" s="404">
        <f>'ส1_เฉพาะเกณฑ์_สกอ.'!E9</f>
        <v>93.10344827586206</v>
      </c>
      <c r="E8" s="405">
        <f>'ส1_เฉพาะเกณฑ์_สกอ.'!G9</f>
        <v>5</v>
      </c>
      <c r="F8" s="15">
        <v>1</v>
      </c>
      <c r="G8" s="15">
        <v>0</v>
      </c>
    </row>
    <row r="9" spans="1:5" ht="21" customHeight="1">
      <c r="A9" s="426"/>
      <c r="B9" s="428"/>
      <c r="C9" s="126">
        <f>'ส1_เฉพาะเกณฑ์_สกอ.'!D10</f>
        <v>14.5</v>
      </c>
      <c r="D9" s="404"/>
      <c r="E9" s="405"/>
    </row>
    <row r="10" spans="1:7" ht="21" customHeight="1">
      <c r="A10" s="426" t="s">
        <v>182</v>
      </c>
      <c r="B10" s="427" t="str">
        <f>'ส1_เฉพาะเกณฑ์_สกอ.'!C11</f>
        <v>24%/4 คะแนน</v>
      </c>
      <c r="C10" s="126">
        <f>'ส1_เฉพาะเกณฑ์_สกอ.'!D11</f>
        <v>5</v>
      </c>
      <c r="D10" s="404">
        <f>'ส1_เฉพาะเกณฑ์_สกอ.'!E11</f>
        <v>34.48275862068966</v>
      </c>
      <c r="E10" s="405">
        <f>'ส1_เฉพาะเกณฑ์_สกอ.'!G11</f>
        <v>5</v>
      </c>
      <c r="F10" s="15">
        <v>1</v>
      </c>
      <c r="G10" s="15">
        <v>0</v>
      </c>
    </row>
    <row r="11" spans="1:5" ht="21" customHeight="1">
      <c r="A11" s="426"/>
      <c r="B11" s="428"/>
      <c r="C11" s="126">
        <f>'ส1_เฉพาะเกณฑ์_สกอ.'!D12</f>
        <v>14.5</v>
      </c>
      <c r="D11" s="404"/>
      <c r="E11" s="405"/>
    </row>
    <row r="12" spans="1:7" ht="21" customHeight="1">
      <c r="A12" s="124" t="s">
        <v>183</v>
      </c>
      <c r="B12" s="330" t="str">
        <f>'ส1_เฉพาะเกณฑ์_สกอ.'!C13</f>
        <v>6 ข้อ/ 4 คะแนน</v>
      </c>
      <c r="C12" s="424">
        <f>'ส1_เฉพาะเกณฑ์_สกอ.'!D13</f>
        <v>7</v>
      </c>
      <c r="D12" s="425"/>
      <c r="E12" s="165">
        <f>'ส1_เฉพาะเกณฑ์_สกอ.'!G13</f>
        <v>5</v>
      </c>
      <c r="F12" s="15">
        <v>1</v>
      </c>
      <c r="G12" s="15">
        <v>0</v>
      </c>
    </row>
    <row r="13" spans="1:5" ht="21" customHeight="1">
      <c r="A13" s="429" t="s">
        <v>184</v>
      </c>
      <c r="B13" s="404" t="str">
        <f>'ส1_เฉพาะเกณฑ์_สมศ.'!C7</f>
        <v>50% /5 คะแนน</v>
      </c>
      <c r="C13" s="126">
        <f>'ส1_เฉพาะเกณฑ์_สมศ.'!D7</f>
        <v>3</v>
      </c>
      <c r="D13" s="404">
        <f>'ส1_เฉพาะเกณฑ์_สมศ.'!E7</f>
        <v>75</v>
      </c>
      <c r="E13" s="404">
        <f>'ส1_เฉพาะเกณฑ์_สมศ.'!F7</f>
        <v>5</v>
      </c>
    </row>
    <row r="14" spans="1:7" ht="21" customHeight="1">
      <c r="A14" s="429"/>
      <c r="B14" s="404"/>
      <c r="C14" s="126">
        <f>'ส1_เฉพาะเกณฑ์_สมศ.'!D8</f>
        <v>4</v>
      </c>
      <c r="D14" s="404"/>
      <c r="E14" s="404"/>
      <c r="F14" s="15">
        <v>1</v>
      </c>
      <c r="G14" s="15">
        <v>0</v>
      </c>
    </row>
    <row r="15" spans="1:5" ht="21" customHeight="1">
      <c r="A15" s="429" t="s">
        <v>185</v>
      </c>
      <c r="B15" s="404" t="str">
        <f>'ส1_เฉพาะเกณฑ์_สมศ.'!C9</f>
        <v>100%/ 5 คะแนน</v>
      </c>
      <c r="C15" s="126">
        <f>'ส1_เฉพาะเกณฑ์_สมศ.'!D9</f>
        <v>5</v>
      </c>
      <c r="D15" s="404">
        <f>'ส1_เฉพาะเกณฑ์_สมศ.'!E9</f>
        <v>250</v>
      </c>
      <c r="E15" s="404">
        <f>'ส1_เฉพาะเกณฑ์_สมศ.'!F9</f>
        <v>5</v>
      </c>
    </row>
    <row r="16" spans="1:7" ht="21" customHeight="1">
      <c r="A16" s="429"/>
      <c r="B16" s="404"/>
      <c r="C16" s="126">
        <f>'ส1_เฉพาะเกณฑ์_สมศ.'!D10</f>
        <v>2</v>
      </c>
      <c r="D16" s="404"/>
      <c r="E16" s="404"/>
      <c r="F16" s="15">
        <v>1</v>
      </c>
      <c r="G16" s="15">
        <v>0</v>
      </c>
    </row>
    <row r="17" spans="1:5" ht="21" customHeight="1">
      <c r="A17" s="429" t="s">
        <v>186</v>
      </c>
      <c r="B17" s="404" t="str">
        <f>'ส1_เฉพาะเกณฑ์_สมศ.'!C17</f>
        <v>6.0/5 คะแนน</v>
      </c>
      <c r="C17" s="126">
        <f>'ส1_เฉพาะเกณฑ์_สมศ.'!D17</f>
        <v>89.5</v>
      </c>
      <c r="D17" s="404">
        <f>'ส1_เฉพาะเกณฑ์_สมศ.'!E17</f>
        <v>6.172413793103448</v>
      </c>
      <c r="E17" s="405">
        <f>'ส1_เฉพาะเกณฑ์_สมศ.'!F17</f>
        <v>5</v>
      </c>
    </row>
    <row r="18" spans="1:7" ht="21" customHeight="1">
      <c r="A18" s="429"/>
      <c r="B18" s="404"/>
      <c r="C18" s="126">
        <f>'ส1_เฉพาะเกณฑ์_สมศ.'!D18</f>
        <v>14.5</v>
      </c>
      <c r="D18" s="404"/>
      <c r="E18" s="405"/>
      <c r="F18" s="15">
        <v>1</v>
      </c>
      <c r="G18" s="15">
        <v>0</v>
      </c>
    </row>
    <row r="19" spans="1:5" ht="21" customHeight="1">
      <c r="A19" s="429" t="s">
        <v>187</v>
      </c>
      <c r="B19" s="404" t="str">
        <f>'ส1_เฉพาะเกณฑ์_สกอ.'!C14</f>
        <v>&gt;150,000/5 คะแนน</v>
      </c>
      <c r="C19" s="126">
        <f>'ส1_เฉพาะเกณฑ์_สกอ.'!D14</f>
        <v>16196142.84</v>
      </c>
      <c r="D19" s="404">
        <f>'ส1_เฉพาะเกณฑ์_สกอ.'!E14</f>
        <v>1156867.3457142857</v>
      </c>
      <c r="E19" s="405">
        <f>'ส1_เฉพาะเกณฑ์_สกอ.'!G14</f>
        <v>5</v>
      </c>
    </row>
    <row r="20" spans="1:7" ht="21" customHeight="1">
      <c r="A20" s="429"/>
      <c r="B20" s="404"/>
      <c r="C20" s="126">
        <f>'ส1_เฉพาะเกณฑ์_สกอ.'!D15</f>
        <v>14</v>
      </c>
      <c r="D20" s="404"/>
      <c r="E20" s="405"/>
      <c r="F20" s="15">
        <v>1</v>
      </c>
      <c r="G20" s="15">
        <v>0</v>
      </c>
    </row>
    <row r="21" spans="1:5" ht="21" customHeight="1">
      <c r="A21" s="429" t="s">
        <v>188</v>
      </c>
      <c r="B21" s="404" t="str">
        <f>'ส1_เฉพาะเกณฑ์_สมศ.'!C11</f>
        <v>20%/ 5 คะแนน</v>
      </c>
      <c r="C21" s="126">
        <f>'ส1_เฉพาะเกณฑ์_สมศ.'!D11</f>
        <v>10.25</v>
      </c>
      <c r="D21" s="404">
        <f>'ส1_เฉพาะเกณฑ์_สมศ.'!E11</f>
        <v>70.6896551724138</v>
      </c>
      <c r="E21" s="405">
        <f>'ส1_เฉพาะเกณฑ์_สมศ.'!F11</f>
        <v>5</v>
      </c>
    </row>
    <row r="22" spans="1:7" ht="21" customHeight="1">
      <c r="A22" s="429"/>
      <c r="B22" s="404"/>
      <c r="C22" s="126">
        <f>'ส1_เฉพาะเกณฑ์_สมศ.'!D12</f>
        <v>14.5</v>
      </c>
      <c r="D22" s="404"/>
      <c r="E22" s="405"/>
      <c r="F22" s="15">
        <v>1</v>
      </c>
      <c r="G22" s="15">
        <v>0</v>
      </c>
    </row>
    <row r="23" spans="1:5" ht="21" customHeight="1">
      <c r="A23" s="429" t="s">
        <v>189</v>
      </c>
      <c r="B23" s="404" t="str">
        <f>'ส1_เฉพาะเกณฑ์_สมศ.'!C13</f>
        <v>8% / 4 คะแนน</v>
      </c>
      <c r="C23" s="126">
        <f>'ส1_เฉพาะเกณฑ์_สมศ.'!D13</f>
        <v>1.25</v>
      </c>
      <c r="D23" s="404">
        <f>'ส1_เฉพาะเกณฑ์_สมศ.'!E13</f>
        <v>8.620689655172415</v>
      </c>
      <c r="E23" s="405">
        <f>'ส1_เฉพาะเกณฑ์_สมศ.'!F13</f>
        <v>4.310344827586207</v>
      </c>
    </row>
    <row r="24" spans="1:7" ht="21" customHeight="1">
      <c r="A24" s="429"/>
      <c r="B24" s="404"/>
      <c r="C24" s="126">
        <f>'ส1_เฉพาะเกณฑ์_สมศ.'!D14</f>
        <v>14.5</v>
      </c>
      <c r="D24" s="404"/>
      <c r="E24" s="405"/>
      <c r="F24" s="15">
        <v>1</v>
      </c>
      <c r="G24" s="15">
        <v>0</v>
      </c>
    </row>
    <row r="25" spans="1:5" ht="20.25" customHeight="1">
      <c r="A25" s="429" t="s">
        <v>190</v>
      </c>
      <c r="B25" s="404" t="str">
        <f>'ส1_เฉพาะเกณฑ์_สมศ.'!C15</f>
        <v>30% /5 คะแนน</v>
      </c>
      <c r="C25" s="126">
        <f>'ส1_เฉพาะเกณฑ์_สมศ.'!D15</f>
        <v>2</v>
      </c>
      <c r="D25" s="404">
        <f>'ส1_เฉพาะเกณฑ์_สมศ.'!E15</f>
        <v>100</v>
      </c>
      <c r="E25" s="405">
        <f>'ส1_เฉพาะเกณฑ์_สมศ.'!F15</f>
        <v>5</v>
      </c>
    </row>
    <row r="26" spans="1:7" ht="20.25" customHeight="1">
      <c r="A26" s="429"/>
      <c r="B26" s="404"/>
      <c r="C26" s="126">
        <f>'ส1_เฉพาะเกณฑ์_สมศ.'!D16</f>
        <v>2</v>
      </c>
      <c r="D26" s="404"/>
      <c r="E26" s="405"/>
      <c r="F26" s="15">
        <v>1</v>
      </c>
      <c r="G26" s="15">
        <v>0</v>
      </c>
    </row>
    <row r="27" spans="1:7" ht="23.25" customHeight="1">
      <c r="A27" s="124" t="s">
        <v>191</v>
      </c>
      <c r="B27" s="330" t="str">
        <f>'ส1_เฉพาะเกณฑ์_สกอ.'!C16</f>
        <v>6 ข้อ/ 5 คะแนน</v>
      </c>
      <c r="C27" s="424">
        <f>'ส1_เฉพาะเกณฑ์_สกอ.'!D16</f>
        <v>6</v>
      </c>
      <c r="D27" s="425"/>
      <c r="E27" s="165">
        <f>'ส1_เฉพาะเกณฑ์_สกอ.'!G16</f>
        <v>5</v>
      </c>
      <c r="F27" s="15">
        <v>1</v>
      </c>
      <c r="G27" s="15">
        <v>0</v>
      </c>
    </row>
    <row r="28" spans="1:7" ht="22.5" customHeight="1">
      <c r="A28" s="125" t="s">
        <v>192</v>
      </c>
      <c r="B28" s="127" t="str">
        <f>'ส1_เฉพาะเกณฑ์_สมศ.'!C19</f>
        <v>4.00 /4 คะแนน</v>
      </c>
      <c r="C28" s="405">
        <f>'ส1_เฉพาะเกณฑ์_สมศ.'!D19</f>
        <v>5</v>
      </c>
      <c r="D28" s="405"/>
      <c r="E28" s="127">
        <f>'ส1_เฉพาะเกณฑ์_สมศ.'!F19</f>
        <v>5</v>
      </c>
      <c r="F28" s="15">
        <v>1</v>
      </c>
      <c r="G28" s="15">
        <v>0</v>
      </c>
    </row>
    <row r="29" spans="1:8" ht="29.25" customHeight="1">
      <c r="A29" s="430" t="s">
        <v>73</v>
      </c>
      <c r="B29" s="431"/>
      <c r="C29" s="431"/>
      <c r="D29" s="432"/>
      <c r="E29" s="331">
        <f>AVERAGE(E28,E27,E25,E23,E21,E19,E17,E15,E13,E12,E10,E8,E7)</f>
        <v>4.946949602122016</v>
      </c>
      <c r="F29" s="16">
        <f>SUM(F7:F28)</f>
        <v>13</v>
      </c>
      <c r="G29" s="15">
        <f>SUM(G7:G28)</f>
        <v>0</v>
      </c>
      <c r="H29" s="5">
        <f>G29/F29*100</f>
        <v>0</v>
      </c>
    </row>
    <row r="31" ht="22.5">
      <c r="E31" s="130"/>
    </row>
    <row r="32" ht="22.5">
      <c r="E32" s="130">
        <f>AVERAGE(E7:E28)</f>
        <v>4.946949602122016</v>
      </c>
    </row>
    <row r="34" spans="5:7" ht="22.5">
      <c r="E34" s="130"/>
      <c r="G34" s="19"/>
    </row>
    <row r="36" ht="22.5">
      <c r="D36" s="130"/>
    </row>
    <row r="39" ht="22.5">
      <c r="G39" s="19"/>
    </row>
  </sheetData>
  <sheetProtection/>
  <mergeCells count="45">
    <mergeCell ref="D21:D22"/>
    <mergeCell ref="E21:E22"/>
    <mergeCell ref="A23:A24"/>
    <mergeCell ref="E25:E26"/>
    <mergeCell ref="C28:D28"/>
    <mergeCell ref="A29:D29"/>
    <mergeCell ref="C27:D27"/>
    <mergeCell ref="A25:A26"/>
    <mergeCell ref="B25:B26"/>
    <mergeCell ref="D25:D26"/>
    <mergeCell ref="E17:E18"/>
    <mergeCell ref="A19:A20"/>
    <mergeCell ref="B19:B20"/>
    <mergeCell ref="D19:D20"/>
    <mergeCell ref="B23:B24"/>
    <mergeCell ref="D23:D24"/>
    <mergeCell ref="E23:E24"/>
    <mergeCell ref="E19:E20"/>
    <mergeCell ref="A21:A22"/>
    <mergeCell ref="B21:B22"/>
    <mergeCell ref="B15:B16"/>
    <mergeCell ref="D15:D16"/>
    <mergeCell ref="A15:A16"/>
    <mergeCell ref="A17:A18"/>
    <mergeCell ref="B17:B18"/>
    <mergeCell ref="D17:D18"/>
    <mergeCell ref="A10:A11"/>
    <mergeCell ref="B10:B11"/>
    <mergeCell ref="D10:D11"/>
    <mergeCell ref="E10:E11"/>
    <mergeCell ref="A13:A14"/>
    <mergeCell ref="B13:B14"/>
    <mergeCell ref="D13:D14"/>
    <mergeCell ref="E13:E14"/>
    <mergeCell ref="C12:D12"/>
    <mergeCell ref="A4:A6"/>
    <mergeCell ref="B4:B6"/>
    <mergeCell ref="C4:D4"/>
    <mergeCell ref="E4:E6"/>
    <mergeCell ref="C7:D7"/>
    <mergeCell ref="E15:E16"/>
    <mergeCell ref="A8:A9"/>
    <mergeCell ref="B8:B9"/>
    <mergeCell ref="D8:D9"/>
    <mergeCell ref="E8:E9"/>
  </mergeCells>
  <printOptions horizontalCentered="1"/>
  <pageMargins left="0.93" right="0.31496062992126" top="0.826771653543307" bottom="0.45" header="0.31496062992126" footer="0.44"/>
  <pageSetup horizontalDpi="1200" verticalDpi="12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A1:J21"/>
  <sheetViews>
    <sheetView view="pageBreakPreview" zoomScale="115" zoomScaleSheetLayoutView="115" zoomScalePageLayoutView="0" workbookViewId="0" topLeftCell="A4">
      <selection activeCell="B17" sqref="B17:E17"/>
    </sheetView>
  </sheetViews>
  <sheetFormatPr defaultColWidth="9.00390625" defaultRowHeight="14.25"/>
  <cols>
    <col min="1" max="1" width="18.625" style="121" customWidth="1"/>
    <col min="2" max="4" width="10.375" style="121" customWidth="1"/>
    <col min="5" max="5" width="10.375" style="176" customWidth="1"/>
    <col min="6" max="6" width="26.50390625" style="121" customWidth="1"/>
    <col min="7" max="7" width="12.875" style="121" customWidth="1"/>
    <col min="8" max="16384" width="9.00390625" style="121" customWidth="1"/>
  </cols>
  <sheetData>
    <row r="1" spans="1:7" s="133" customFormat="1" ht="23.25">
      <c r="A1" s="131" t="s">
        <v>27</v>
      </c>
      <c r="B1" s="132"/>
      <c r="C1" s="132"/>
      <c r="D1" s="132"/>
      <c r="E1" s="174"/>
      <c r="F1" s="132"/>
      <c r="G1" s="132"/>
    </row>
    <row r="2" spans="1:7" s="133" customFormat="1" ht="23.25">
      <c r="A2" s="132" t="s">
        <v>1</v>
      </c>
      <c r="B2" s="132"/>
      <c r="C2" s="132"/>
      <c r="D2" s="132"/>
      <c r="E2" s="174"/>
      <c r="F2" s="132"/>
      <c r="G2" s="132"/>
    </row>
    <row r="3" spans="1:7" s="135" customFormat="1" ht="23.25">
      <c r="A3" s="121" t="s">
        <v>157</v>
      </c>
      <c r="B3" s="134"/>
      <c r="C3" s="134"/>
      <c r="D3" s="134"/>
      <c r="E3" s="174"/>
      <c r="F3" s="134"/>
      <c r="G3" s="134"/>
    </row>
    <row r="4" spans="1:7" s="133" customFormat="1" ht="14.25" customHeight="1">
      <c r="A4" s="132"/>
      <c r="B4" s="132"/>
      <c r="C4" s="132"/>
      <c r="D4" s="132"/>
      <c r="E4" s="174"/>
      <c r="F4" s="132"/>
      <c r="G4" s="132"/>
    </row>
    <row r="5" spans="1:7" ht="23.25">
      <c r="A5" s="433" t="s">
        <v>28</v>
      </c>
      <c r="B5" s="433" t="s">
        <v>29</v>
      </c>
      <c r="C5" s="433"/>
      <c r="D5" s="433"/>
      <c r="E5" s="433"/>
      <c r="F5" s="434" t="s">
        <v>159</v>
      </c>
      <c r="G5" s="433" t="s">
        <v>30</v>
      </c>
    </row>
    <row r="6" spans="1:7" ht="99" customHeight="1">
      <c r="A6" s="433"/>
      <c r="B6" s="136" t="s">
        <v>31</v>
      </c>
      <c r="C6" s="136" t="s">
        <v>32</v>
      </c>
      <c r="D6" s="136" t="s">
        <v>33</v>
      </c>
      <c r="E6" s="136" t="s">
        <v>34</v>
      </c>
      <c r="F6" s="435"/>
      <c r="G6" s="433"/>
    </row>
    <row r="7" spans="1:8" ht="25.5" customHeight="1">
      <c r="A7" s="166" t="s">
        <v>35</v>
      </c>
      <c r="B7" s="167"/>
      <c r="C7" s="168">
        <f>'ส1_เฉพาะเกณฑ์_สกอ.'!G8</f>
        <v>5</v>
      </c>
      <c r="D7" s="167"/>
      <c r="E7" s="168">
        <f>Form7!T6</f>
        <v>5</v>
      </c>
      <c r="F7" s="128" t="str">
        <f>IF(E7&gt;=4.51,"ดีมาก",IF(E7&gt;=3.51,"ดี",IF(E7&gt;=2.51,"พอใช้",IF(E7&gt;=1.51,"ต้องปรับปรุง","ต้องปรับปรุงเร่งด่วน"))))</f>
        <v>ดีมาก</v>
      </c>
      <c r="G7" s="169"/>
      <c r="H7" s="130"/>
    </row>
    <row r="8" spans="1:10" ht="25.5" customHeight="1">
      <c r="A8" s="166" t="s">
        <v>36</v>
      </c>
      <c r="B8" s="170">
        <f>AVERAGE('ส1_เฉพาะเกณฑ์_สกอ.'!G9,'ส1_เฉพาะเกณฑ์_สกอ.'!G11)</f>
        <v>5</v>
      </c>
      <c r="C8" s="168">
        <f>'ส1_เฉพาะเกณฑ์_สกอ.'!G13</f>
        <v>5</v>
      </c>
      <c r="D8" s="168">
        <f>AVERAGE('ส1_เฉพาะเกณฑ์_สมศ.'!F7,'ส1_เฉพาะเกณฑ์_สมศ.'!F9,'ส1_เฉพาะเกณฑ์_สมศ.'!F17)</f>
        <v>5</v>
      </c>
      <c r="E8" s="168">
        <f>Form7!T8</f>
        <v>5</v>
      </c>
      <c r="F8" s="128" t="str">
        <f aca="true" t="shared" si="0" ref="F8:F13">IF(E8&gt;=4.51,"ดีมาก",IF(E8&gt;=3.51,"ดี",IF(E8&gt;=2.51,"พอใช้",IF(E8&gt;=1.51,"ต้องปรับปรุง","ต้องปรับปรุงเร่งด่วน"))))</f>
        <v>ดีมาก</v>
      </c>
      <c r="G8" s="169"/>
      <c r="H8" s="130"/>
      <c r="J8" s="139"/>
    </row>
    <row r="9" spans="1:7" ht="25.5" customHeight="1">
      <c r="A9" s="166" t="s">
        <v>37</v>
      </c>
      <c r="B9" s="168">
        <f>Form7!S47</f>
        <v>5</v>
      </c>
      <c r="C9" s="168"/>
      <c r="D9" s="168">
        <f>AVERAGE('ส1_เฉพาะเกณฑ์_สมศ.'!F11,'ส1_เฉพาะเกณฑ์_สมศ.'!F13)</f>
        <v>4.655172413793103</v>
      </c>
      <c r="E9" s="168">
        <f>Form7!T46</f>
        <v>4.7701149425287355</v>
      </c>
      <c r="F9" s="128" t="str">
        <f t="shared" si="0"/>
        <v>ดีมาก</v>
      </c>
      <c r="G9" s="169"/>
    </row>
    <row r="10" spans="1:7" ht="25.5" customHeight="1">
      <c r="A10" s="166" t="s">
        <v>38</v>
      </c>
      <c r="B10" s="171"/>
      <c r="C10" s="168"/>
      <c r="D10" s="168">
        <f>Form7!S68</f>
        <v>5</v>
      </c>
      <c r="E10" s="168">
        <f>Form7!T67</f>
        <v>5</v>
      </c>
      <c r="F10" s="128" t="str">
        <f t="shared" si="0"/>
        <v>ดีมาก</v>
      </c>
      <c r="G10" s="169"/>
    </row>
    <row r="11" spans="1:7" ht="25.5" customHeight="1">
      <c r="A11" s="166" t="s">
        <v>39</v>
      </c>
      <c r="B11" s="171"/>
      <c r="C11" s="168">
        <f>Form7!S71</f>
        <v>5</v>
      </c>
      <c r="D11" s="168"/>
      <c r="E11" s="168">
        <f>Form7!T70</f>
        <v>5</v>
      </c>
      <c r="F11" s="128" t="str">
        <f t="shared" si="0"/>
        <v>ดีมาก</v>
      </c>
      <c r="G11" s="169"/>
    </row>
    <row r="12" spans="1:7" s="145" customFormat="1" ht="23.25">
      <c r="A12" s="173" t="s">
        <v>40</v>
      </c>
      <c r="B12" s="144"/>
      <c r="C12" s="6"/>
      <c r="D12" s="144">
        <f>Form7!S73</f>
        <v>5</v>
      </c>
      <c r="E12" s="6">
        <f>Form7!T72</f>
        <v>5</v>
      </c>
      <c r="F12" s="7" t="str">
        <f t="shared" si="0"/>
        <v>ดีมาก</v>
      </c>
      <c r="G12" s="436" t="s">
        <v>160</v>
      </c>
    </row>
    <row r="13" spans="1:7" ht="39">
      <c r="A13" s="172" t="s">
        <v>158</v>
      </c>
      <c r="B13" s="9">
        <f>AVERAGE('ส1_เฉพาะเกณฑ์_สกอ.'!G9,'ส1_เฉพาะเกณฑ์_สกอ.'!G11,'ส1_เฉพาะเกณฑ์_สกอ.'!G14)</f>
        <v>5</v>
      </c>
      <c r="C13" s="9">
        <f>AVERAGE('ส1_เฉพาะเกณฑ์_สกอ.'!G8,'ส1_เฉพาะเกณฑ์_สกอ.'!G13,'ส1_เฉพาะเกณฑ์_สกอ.'!G16)</f>
        <v>5</v>
      </c>
      <c r="D13" s="9">
        <f>AVERAGE('ส1_เฉพาะเกณฑ์_สมศ.'!F7,'ส1_เฉพาะเกณฑ์_สมศ.'!F9,'ส1_เฉพาะเกณฑ์_สมศ.'!F11,'ส1_เฉพาะเกณฑ์_สมศ.'!F13,'ส1_เฉพาะเกณฑ์_สมศ.'!F15,'ส1_เฉพาะเกณฑ์_สมศ.'!F17,'ส1_เฉพาะเกณฑ์_สมศ.'!F19)</f>
        <v>4.901477832512315</v>
      </c>
      <c r="E13" s="9">
        <f>AVERAGE('ส1_เฉพาะเกณฑ์_สกอ.'!G8,'ส1_เฉพาะเกณฑ์_สกอ.'!G9,'ส1_เฉพาะเกณฑ์_สกอ.'!G11,'ส1_เฉพาะเกณฑ์_สกอ.'!G13,'ส1_เฉพาะเกณฑ์_สกอ.'!G14,'ส1_เฉพาะเกณฑ์_สกอ.'!G16,'ส1_เฉพาะเกณฑ์_สมศ.'!F7,'ส1_เฉพาะเกณฑ์_สมศ.'!F9,'ส1_เฉพาะเกณฑ์_สมศ.'!F11,'ส1_เฉพาะเกณฑ์_สมศ.'!F13,'ส1_เฉพาะเกณฑ์_สมศ.'!F15,'ส1_เฉพาะเกณฑ์_สมศ.'!F17)</f>
        <v>4.942528735632184</v>
      </c>
      <c r="F13" s="8" t="str">
        <f t="shared" si="0"/>
        <v>ดีมาก</v>
      </c>
      <c r="G13" s="437"/>
    </row>
    <row r="14" spans="1:7" ht="31.5" customHeight="1">
      <c r="A14" s="149" t="s">
        <v>41</v>
      </c>
      <c r="B14" s="140" t="str">
        <f>IF(B13&gt;=4.51,"ดีมาก",IF(B13&gt;=3.51,"ดี",IF(B13&gt;=2.51,"พอใช้",IF(B13&gt;=1.51,"ต้องปรับปรุง","ปรับปรุงเร่งด่วน"))))</f>
        <v>ดีมาก</v>
      </c>
      <c r="C14" s="140" t="str">
        <f>IF(C13&gt;=4.51,"ดีมาก",IF(C13&gt;=3.51,"ดี",IF(C13&gt;=2.51,"พอใช้",IF(C13&gt;=1.51,"ต้องปรับปรุง","ปรับปรุงเร่งด่วน"))))</f>
        <v>ดีมาก</v>
      </c>
      <c r="D14" s="140" t="str">
        <f>IF(D13&gt;=4.51,"ดีมาก",IF(D13&gt;=3.51,"ดี",IF(D13&gt;=2.51,"พอใช้",IF(D13&gt;=1.51,"ต้องปรับปรุง","ปรับปรุงเร่งด่วน"))))</f>
        <v>ดีมาก</v>
      </c>
      <c r="E14" s="140" t="str">
        <f>IF(E13&gt;=4.51,"ดีมาก",IF(E13&gt;=3.51,"ดี",IF(E13&gt;=2.51,"พอใช้",IF(E13&gt;=1.51,"ต้องปรับปรุง","ปรับปรุงเร่งด่วน"))))</f>
        <v>ดีมาก</v>
      </c>
      <c r="F14" s="141"/>
      <c r="G14" s="138"/>
    </row>
    <row r="16" ht="19.5">
      <c r="E16" s="175"/>
    </row>
    <row r="17" spans="2:5" ht="19.5">
      <c r="B17" s="142"/>
      <c r="C17" s="130"/>
      <c r="D17" s="130"/>
      <c r="E17" s="175"/>
    </row>
    <row r="18" spans="2:5" ht="19.5">
      <c r="B18" s="143"/>
      <c r="C18" s="143"/>
      <c r="D18" s="143"/>
      <c r="E18" s="177"/>
    </row>
    <row r="20" ht="19.5">
      <c r="B20" s="142"/>
    </row>
    <row r="21" ht="19.5">
      <c r="B21" s="130"/>
    </row>
  </sheetData>
  <sheetProtection/>
  <mergeCells count="5">
    <mergeCell ref="A5:A6"/>
    <mergeCell ref="B5:E5"/>
    <mergeCell ref="F5:F6"/>
    <mergeCell ref="G5:G6"/>
    <mergeCell ref="G12:G13"/>
  </mergeCells>
  <printOptions horizontalCentered="1"/>
  <pageMargins left="0.75" right="0.393700787401575" top="0.9" bottom="0.748031496062992" header="0.31496062992126" footer="0.31496062992126"/>
  <pageSetup horizontalDpi="1200" verticalDpi="1200" orientation="portrait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K27"/>
  <sheetViews>
    <sheetView view="pageBreakPreview" zoomScaleNormal="130" zoomScaleSheetLayoutView="100" zoomScalePageLayoutView="0" workbookViewId="0" topLeftCell="A4">
      <selection activeCell="I13" sqref="I13"/>
    </sheetView>
  </sheetViews>
  <sheetFormatPr defaultColWidth="9.00390625" defaultRowHeight="21.75" customHeight="1"/>
  <cols>
    <col min="1" max="1" width="23.00390625" style="118" customWidth="1"/>
    <col min="2" max="5" width="8.375" style="118" customWidth="1"/>
    <col min="6" max="6" width="26.50390625" style="118" customWidth="1"/>
    <col min="7" max="7" width="13.50390625" style="118" customWidth="1"/>
    <col min="8" max="16384" width="9.00390625" style="118" customWidth="1"/>
  </cols>
  <sheetData>
    <row r="1" spans="1:7" ht="21.75" customHeight="1">
      <c r="A1" s="146" t="s">
        <v>42</v>
      </c>
      <c r="B1" s="147"/>
      <c r="C1" s="147"/>
      <c r="D1" s="147"/>
      <c r="E1" s="147"/>
      <c r="F1" s="147"/>
      <c r="G1" s="147"/>
    </row>
    <row r="2" spans="1:7" ht="21.75" customHeight="1">
      <c r="A2" s="122" t="s">
        <v>1</v>
      </c>
      <c r="B2" s="147"/>
      <c r="C2" s="147"/>
      <c r="D2" s="147"/>
      <c r="E2" s="147"/>
      <c r="F2" s="147"/>
      <c r="G2" s="147"/>
    </row>
    <row r="3" spans="1:7" ht="21.75" customHeight="1">
      <c r="A3" s="121" t="s">
        <v>156</v>
      </c>
      <c r="B3" s="147"/>
      <c r="C3" s="147"/>
      <c r="D3" s="147"/>
      <c r="E3" s="147"/>
      <c r="F3" s="147"/>
      <c r="G3" s="147"/>
    </row>
    <row r="4" spans="1:7" ht="15" customHeight="1">
      <c r="A4" s="147"/>
      <c r="B4" s="147"/>
      <c r="C4" s="147"/>
      <c r="D4" s="147"/>
      <c r="E4" s="147"/>
      <c r="F4" s="147"/>
      <c r="G4" s="147"/>
    </row>
    <row r="5" spans="1:7" ht="21.75" customHeight="1">
      <c r="A5" s="438" t="s">
        <v>43</v>
      </c>
      <c r="B5" s="433" t="s">
        <v>29</v>
      </c>
      <c r="C5" s="433"/>
      <c r="D5" s="433"/>
      <c r="E5" s="433"/>
      <c r="F5" s="439" t="s">
        <v>159</v>
      </c>
      <c r="G5" s="433" t="s">
        <v>30</v>
      </c>
    </row>
    <row r="6" spans="1:7" ht="100.5" customHeight="1">
      <c r="A6" s="438"/>
      <c r="B6" s="136" t="s">
        <v>31</v>
      </c>
      <c r="C6" s="136" t="s">
        <v>32</v>
      </c>
      <c r="D6" s="136" t="s">
        <v>33</v>
      </c>
      <c r="E6" s="136" t="s">
        <v>34</v>
      </c>
      <c r="F6" s="439"/>
      <c r="G6" s="433"/>
    </row>
    <row r="7" spans="1:11" ht="21.75" customHeight="1">
      <c r="A7" s="272" t="s">
        <v>44</v>
      </c>
      <c r="B7" s="277"/>
      <c r="C7" s="277"/>
      <c r="D7" s="168">
        <f>AVERAGE('ส1_เฉพาะเกณฑ์_สมศ.'!F7,'ส1_เฉพาะเกณฑ์_สมศ.'!F9)</f>
        <v>5</v>
      </c>
      <c r="E7" s="168">
        <f>D7</f>
        <v>5</v>
      </c>
      <c r="F7" s="128" t="str">
        <f>IF(E7&gt;=4.51,"ดีมาก",IF(E7&gt;=3.51,"ดี",IF(E7&gt;=2.51,"พอใช้",IF(E7&gt;=1.51,"ต้องปรับปรุง","ปรับปรุงเร่งด่วน"))))</f>
        <v>ดีมาก</v>
      </c>
      <c r="G7" s="141"/>
      <c r="H7" s="121"/>
      <c r="I7" s="278">
        <f>AVERAGE('ส1_เฉพาะเกณฑ์_สมศ.'!F7,'ส1_เฉพาะเกณฑ์_สมศ.'!F9)</f>
        <v>5</v>
      </c>
      <c r="J7" s="121"/>
      <c r="K7" s="121"/>
    </row>
    <row r="8" spans="1:11" ht="21.75" customHeight="1">
      <c r="A8" s="272" t="s">
        <v>45</v>
      </c>
      <c r="B8" s="141"/>
      <c r="C8" s="141"/>
      <c r="D8" s="141"/>
      <c r="E8" s="141"/>
      <c r="F8" s="128"/>
      <c r="G8" s="141"/>
      <c r="H8" s="121"/>
      <c r="I8" s="121"/>
      <c r="J8" s="121"/>
      <c r="K8" s="121"/>
    </row>
    <row r="9" spans="1:11" ht="21.75" customHeight="1">
      <c r="A9" s="273" t="s">
        <v>46</v>
      </c>
      <c r="B9" s="277"/>
      <c r="C9" s="168">
        <f>AVERAGE('ส1_เฉพาะเกณฑ์_สกอ.'!G8,'ส1_เฉพาะเกณฑ์_สกอ.'!G16)</f>
        <v>5</v>
      </c>
      <c r="D9" s="168"/>
      <c r="E9" s="168">
        <f>C9</f>
        <v>5</v>
      </c>
      <c r="F9" s="128" t="str">
        <f>IF(E9&gt;=4.51,"ดีมาก",IF(E9&gt;=3.51,"ดี",IF(E9&gt;=2.51,"พอใช้",IF(E9&gt;=1.51,"ต้องปรับปรุง","ปรับปรุงเร่งด่วน"))))</f>
        <v>ดีมาก</v>
      </c>
      <c r="G9" s="141"/>
      <c r="H9" s="121"/>
      <c r="I9" s="278">
        <f>AVERAGE('ส1_เฉพาะเกณฑ์_สกอ.'!G8,'ส1_เฉพาะเกณฑ์_สกอ.'!G16)</f>
        <v>5</v>
      </c>
      <c r="J9" s="121"/>
      <c r="K9" s="121"/>
    </row>
    <row r="10" spans="1:11" ht="23.25">
      <c r="A10" s="274" t="s">
        <v>47</v>
      </c>
      <c r="B10" s="6">
        <f>AVERAGE('ส1_เฉพาะเกณฑ์_สกอ.'!G9,'ส1_เฉพาะเกณฑ์_สกอ.'!G11,'ส1_เฉพาะเกณฑ์_สกอ.'!G14)</f>
        <v>5</v>
      </c>
      <c r="C10" s="6">
        <f>'ส1_เฉพาะเกณฑ์_สกอ.'!G13</f>
        <v>5</v>
      </c>
      <c r="D10" s="6">
        <f>AVERAGE('ส1_เฉพาะเกณฑ์_สมศ.'!F17,'ส1_เฉพาะเกณฑ์_สมศ.'!F15)</f>
        <v>5</v>
      </c>
      <c r="E10" s="6">
        <f>AVERAGE('ส1_เฉพาะเกณฑ์_สมศ.'!F15,'ส1_เฉพาะเกณฑ์_สมศ.'!F17,'ส1_เฉพาะเกณฑ์_สกอ.'!G9,'ส1_เฉพาะเกณฑ์_สกอ.'!G11,'ส1_เฉพาะเกณฑ์_สกอ.'!G14,'ส1_เฉพาะเกณฑ์_สกอ.'!G13)</f>
        <v>5</v>
      </c>
      <c r="F10" s="7" t="str">
        <f>IF(E10&gt;=4.51,"ดีมาก",IF(E10&gt;=3.51,"ดี",IF(E10&gt;=2.51,"พอใช้",IF(E10&gt;=1.51,"ต้องปรับปรุง","ปรับปรุงเร่งด่วน"))))</f>
        <v>ดีมาก</v>
      </c>
      <c r="G10" s="436" t="s">
        <v>160</v>
      </c>
      <c r="H10" s="121"/>
      <c r="I10" s="278">
        <f>AVERAGE('ส1_เฉพาะเกณฑ์_สกอ.'!G9,'ส1_เฉพาะเกณฑ์_สกอ.'!G11,'ส1_เฉพาะเกณฑ์_สกอ.'!G13,'ส1_เฉพาะเกณฑ์_สกอ.'!G14,'ส1_เฉพาะเกณฑ์_สมศ.'!F15,'ส1_เฉพาะเกณฑ์_สมศ.'!F17)</f>
        <v>5</v>
      </c>
      <c r="J10" s="121"/>
      <c r="K10" s="121"/>
    </row>
    <row r="11" spans="1:11" ht="23.25">
      <c r="A11" s="272" t="s">
        <v>48</v>
      </c>
      <c r="B11" s="277"/>
      <c r="C11" s="168"/>
      <c r="D11" s="168">
        <f>AVERAGE('ส1_เฉพาะเกณฑ์_สมศ.'!F11,'ส1_เฉพาะเกณฑ์_สมศ.'!F13)</f>
        <v>4.655172413793103</v>
      </c>
      <c r="E11" s="168">
        <f>D11</f>
        <v>4.655172413793103</v>
      </c>
      <c r="F11" s="128" t="str">
        <f>IF(E11&gt;=4.51,"ดีมาก",IF(E11&gt;=3.51,"ดี",IF(E11&gt;=2.51,"พอใช้",IF(E11&gt;=1.51,"ต้องปรับปรุง","ปรับปรุงเร่งด่วน"))))</f>
        <v>ดีมาก</v>
      </c>
      <c r="G11" s="437"/>
      <c r="H11" s="121"/>
      <c r="I11" s="278">
        <f>AVERAGE(Form7!S52,Form7!S61)</f>
        <v>4.655172413793103</v>
      </c>
      <c r="J11" s="121"/>
      <c r="K11" s="121"/>
    </row>
    <row r="12" spans="1:11" ht="43.5" customHeight="1">
      <c r="A12" s="275" t="s">
        <v>69</v>
      </c>
      <c r="B12" s="9">
        <f>AVERAGE('ส1_เฉพาะเกณฑ์_สกอ.'!G9,'ส1_เฉพาะเกณฑ์_สกอ.'!G11,'ส1_เฉพาะเกณฑ์_สกอ.'!G14)</f>
        <v>5</v>
      </c>
      <c r="C12" s="9">
        <f>AVERAGE('ส1_เฉพาะเกณฑ์_สกอ.'!G8,'ส1_เฉพาะเกณฑ์_สกอ.'!G13,'ส1_เฉพาะเกณฑ์_สกอ.'!G16)</f>
        <v>5</v>
      </c>
      <c r="D12" s="9">
        <f>AVERAGE('ส1_เฉพาะเกณฑ์_สมศ.'!F7,'ส1_เฉพาะเกณฑ์_สมศ.'!F9,'ส1_เฉพาะเกณฑ์_สมศ.'!F11,'ส1_เฉพาะเกณฑ์_สมศ.'!F13,'ส1_เฉพาะเกณฑ์_สมศ.'!F15,'ส1_เฉพาะเกณฑ์_สมศ.'!F17)</f>
        <v>4.885057471264368</v>
      </c>
      <c r="E12" s="279">
        <f>AVERAGE('ส1_เฉพาะเกณฑ์_สมศ.'!F7,'ส1_เฉพาะเกณฑ์_สมศ.'!F9,'ส1_เฉพาะเกณฑ์_สมศ.'!F11,'ส1_เฉพาะเกณฑ์_สมศ.'!F13,'ส1_เฉพาะเกณฑ์_สมศ.'!F15,'ส1_เฉพาะเกณฑ์_สมศ.'!F17,'ส1_เฉพาะเกณฑ์_สกอ.'!G8,'ส1_เฉพาะเกณฑ์_สกอ.'!G9,'ส1_เฉพาะเกณฑ์_สกอ.'!G11,'ส1_เฉพาะเกณฑ์_สกอ.'!G13,'ส1_เฉพาะเกณฑ์_สกอ.'!G14,'ส1_เฉพาะเกณฑ์_สกอ.'!G16)</f>
        <v>4.942528735632184</v>
      </c>
      <c r="F12" s="7" t="str">
        <f>IF(E12&gt;=4.51,"ดีมาก",IF(E12&gt;=3.51,"ดี",IF(E12&gt;=2.51,"พอใช้",IF(E12&gt;=1.51,"ต้องปรับปรุง","ปรับปรุงเร่งด่วน"))))</f>
        <v>ดีมาก</v>
      </c>
      <c r="G12" s="141"/>
      <c r="H12" s="121"/>
      <c r="I12" s="280"/>
      <c r="J12" s="121"/>
      <c r="K12" s="121"/>
    </row>
    <row r="13" spans="1:11" ht="23.25" customHeight="1">
      <c r="A13" s="276" t="s">
        <v>41</v>
      </c>
      <c r="B13" s="140" t="str">
        <f>IF(B12&gt;=4.51,"ดีมาก",IF(B12&gt;=3.51,"ดี",IF(B12&gt;=2.51,"พอใช้",IF(B12&gt;=1.51,"ต้องปรับปรุง","ปรับปรุงเร่งด่วน"))))</f>
        <v>ดีมาก</v>
      </c>
      <c r="C13" s="140" t="str">
        <f>IF(C12&gt;=4.51,"ดีมาก",IF(C12&gt;=3.51,"ดี",IF(C12&gt;=2.51,"พอใช้",IF(C12&gt;=1.51,"ต้องปรับปรุง","ปรับปรุงเร่งด่วน"))))</f>
        <v>ดีมาก</v>
      </c>
      <c r="D13" s="140" t="str">
        <f>IF(D12&gt;=4.51,"ดีมาก",IF(D12&gt;=3.51,"ดี",IF(D12&gt;=2.51,"พอใช้",IF(D12&gt;=1.51,"ต้องปรับปรุง","ปรับปรุงเร่งด่วน"))))</f>
        <v>ดีมาก</v>
      </c>
      <c r="E13" s="140" t="str">
        <f>IF(E12&gt;=4.51,"ดีมาก",IF(E12&gt;=3.51,"ดี",IF(E12&gt;=2.51,"พอใช้",IF(E12&gt;=1.51,"ต้องปรับปรุง","ปรับปรุงเร่งด่วน"))))</f>
        <v>ดีมาก</v>
      </c>
      <c r="F13" s="141"/>
      <c r="G13" s="141"/>
      <c r="H13" s="121"/>
      <c r="I13" s="121"/>
      <c r="J13" s="121"/>
      <c r="K13" s="121"/>
    </row>
    <row r="14" spans="2:11" ht="21.75" customHeight="1"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2:11" ht="21.75" customHeight="1">
      <c r="B15" s="121"/>
      <c r="C15" s="278"/>
      <c r="D15" s="130"/>
      <c r="E15" s="130"/>
      <c r="F15" s="121"/>
      <c r="G15" s="121"/>
      <c r="H15" s="121"/>
      <c r="I15" s="121"/>
      <c r="J15" s="121"/>
      <c r="K15" s="121"/>
    </row>
    <row r="16" spans="2:11" ht="21.75" customHeight="1">
      <c r="B16" s="121"/>
      <c r="C16" s="281"/>
      <c r="D16" s="281"/>
      <c r="E16" s="281"/>
      <c r="F16" s="121"/>
      <c r="G16" s="121"/>
      <c r="H16" s="121"/>
      <c r="I16" s="121"/>
      <c r="J16" s="121"/>
      <c r="K16" s="121"/>
    </row>
    <row r="17" spans="2:11" ht="21.75" customHeight="1"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2:11" ht="21.75" customHeight="1"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2:11" ht="21.75" customHeight="1">
      <c r="B19" s="121"/>
      <c r="C19" s="121"/>
      <c r="D19" s="130"/>
      <c r="E19" s="121"/>
      <c r="F19" s="121"/>
      <c r="G19" s="121"/>
      <c r="H19" s="121"/>
      <c r="I19" s="121"/>
      <c r="J19" s="121"/>
      <c r="K19" s="121"/>
    </row>
    <row r="20" spans="2:11" ht="21.75" customHeight="1"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  <row r="21" spans="2:11" ht="21.75" customHeight="1"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2:11" ht="21.75" customHeight="1"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2:11" ht="21.75" customHeight="1"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2:11" ht="21.75" customHeight="1"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2:11" ht="21.75" customHeight="1"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2:11" ht="21.75" customHeight="1"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2:11" ht="21.75" customHeight="1"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</sheetData>
  <sheetProtection/>
  <mergeCells count="5">
    <mergeCell ref="A5:A6"/>
    <mergeCell ref="B5:E5"/>
    <mergeCell ref="F5:F6"/>
    <mergeCell ref="G5:G6"/>
    <mergeCell ref="G10:G11"/>
  </mergeCells>
  <printOptions horizontalCentered="1"/>
  <pageMargins left="0.708661417322835" right="0.29" top="0.748031496062992" bottom="0.748031496062992" header="0.31496062992126" footer="0.31496062992126"/>
  <pageSetup horizontalDpi="1200" verticalDpi="1200" orientation="portrait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</sheetPr>
  <dimension ref="A1:J14"/>
  <sheetViews>
    <sheetView view="pageBreakPreview" zoomScale="115" zoomScaleSheetLayoutView="115" zoomScalePageLayoutView="0" workbookViewId="0" topLeftCell="A4">
      <selection activeCell="I11" sqref="I11"/>
    </sheetView>
  </sheetViews>
  <sheetFormatPr defaultColWidth="9.00390625" defaultRowHeight="14.25"/>
  <cols>
    <col min="1" max="1" width="29.125" style="117" customWidth="1"/>
    <col min="2" max="5" width="8.75390625" style="117" customWidth="1"/>
    <col min="6" max="6" width="28.375" style="117" customWidth="1"/>
    <col min="7" max="7" width="12.50390625" style="117" customWidth="1"/>
    <col min="8" max="16384" width="9.00390625" style="117" customWidth="1"/>
  </cols>
  <sheetData>
    <row r="1" spans="1:7" s="129" customFormat="1" ht="21.75" customHeight="1">
      <c r="A1" s="282" t="s">
        <v>49</v>
      </c>
      <c r="B1" s="283"/>
      <c r="C1" s="283"/>
      <c r="D1" s="283"/>
      <c r="E1" s="283"/>
      <c r="F1" s="283"/>
      <c r="G1" s="283"/>
    </row>
    <row r="2" spans="1:7" s="129" customFormat="1" ht="21.75" customHeight="1">
      <c r="A2" s="283" t="s">
        <v>1</v>
      </c>
      <c r="B2" s="283"/>
      <c r="C2" s="283"/>
      <c r="D2" s="283"/>
      <c r="E2" s="283"/>
      <c r="F2" s="283"/>
      <c r="G2" s="283"/>
    </row>
    <row r="3" spans="1:7" s="129" customFormat="1" ht="21.75" customHeight="1">
      <c r="A3" s="132" t="s">
        <v>163</v>
      </c>
      <c r="B3" s="283"/>
      <c r="C3" s="283"/>
      <c r="D3" s="283"/>
      <c r="E3" s="283"/>
      <c r="F3" s="283"/>
      <c r="G3" s="283"/>
    </row>
    <row r="4" spans="1:7" s="129" customFormat="1" ht="12.75" customHeight="1">
      <c r="A4" s="283"/>
      <c r="B4" s="283"/>
      <c r="C4" s="283"/>
      <c r="D4" s="283"/>
      <c r="E4" s="283"/>
      <c r="F4" s="283"/>
      <c r="G4" s="283"/>
    </row>
    <row r="5" spans="1:7" s="129" customFormat="1" ht="21.75" customHeight="1">
      <c r="A5" s="440" t="s">
        <v>50</v>
      </c>
      <c r="B5" s="433" t="s">
        <v>29</v>
      </c>
      <c r="C5" s="433"/>
      <c r="D5" s="433"/>
      <c r="E5" s="433"/>
      <c r="F5" s="434" t="s">
        <v>159</v>
      </c>
      <c r="G5" s="433" t="s">
        <v>30</v>
      </c>
    </row>
    <row r="6" spans="1:7" s="129" customFormat="1" ht="98.25" customHeight="1">
      <c r="A6" s="440"/>
      <c r="B6" s="178" t="s">
        <v>31</v>
      </c>
      <c r="C6" s="178" t="s">
        <v>32</v>
      </c>
      <c r="D6" s="178" t="s">
        <v>33</v>
      </c>
      <c r="E6" s="178" t="s">
        <v>34</v>
      </c>
      <c r="F6" s="435"/>
      <c r="G6" s="433"/>
    </row>
    <row r="7" spans="1:10" s="129" customFormat="1" ht="26.25" customHeight="1">
      <c r="A7" s="284" t="s">
        <v>51</v>
      </c>
      <c r="B7" s="285"/>
      <c r="C7" s="286">
        <f>'ส1_เฉพาะเกณฑ์_สกอ.'!G13</f>
        <v>5</v>
      </c>
      <c r="D7" s="286">
        <f>AVERAGE('ส1_เฉพาะเกณฑ์_สมศ.'!F7,'ส1_เฉพาะเกณฑ์_สมศ.'!F9,'ส1_เฉพาะเกณฑ์_สมศ.'!F15)</f>
        <v>5</v>
      </c>
      <c r="E7" s="286">
        <f>AVERAGE('ส1_เฉพาะเกณฑ์_สมศ.'!F7,'ส1_เฉพาะเกณฑ์_สมศ.'!F9,'ส1_เฉพาะเกณฑ์_สมศ.'!F15,'ส1_เฉพาะเกณฑ์_สกอ.'!G13)</f>
        <v>5</v>
      </c>
      <c r="F7" s="7" t="str">
        <f>IF(E7&gt;=4.51,"ดีมาก",IF(E7&gt;=3.51,"ดี",IF(E7&gt;=2.51,"พอใช้",IF(E7&gt;=1.51,"ต้องปรับปรุง","ต้องปรับปรุงเร่งด่วน"))))</f>
        <v>ดีมาก</v>
      </c>
      <c r="G7" s="155"/>
      <c r="I7" s="287"/>
      <c r="J7" s="287"/>
    </row>
    <row r="8" spans="1:10" s="129" customFormat="1" ht="23.25">
      <c r="A8" s="284" t="s">
        <v>52</v>
      </c>
      <c r="B8" s="286"/>
      <c r="C8" s="286">
        <f>AVERAGE('ส1_เฉพาะเกณฑ์_สกอ.'!G8,'ส1_เฉพาะเกณฑ์_สกอ.'!G16)</f>
        <v>5</v>
      </c>
      <c r="D8" s="286"/>
      <c r="E8" s="286">
        <f>AVERAGE('ส1_เฉพาะเกณฑ์_สกอ.'!G8,'ส1_เฉพาะเกณฑ์_สกอ.'!G16)</f>
        <v>5</v>
      </c>
      <c r="F8" s="7" t="str">
        <f>IF(E8&gt;=4.51,"ดีมาก",IF(E8&gt;=3.51,"ดี",IF(E8&gt;=2.51,"พอใช้",IF(E8&gt;=1.51,"ต้องปรับปรุง","ต้องปรับปรุงเร่งด่วน"))))</f>
        <v>ดีมาก</v>
      </c>
      <c r="G8" s="441" t="s">
        <v>160</v>
      </c>
      <c r="I8" s="287"/>
      <c r="J8" s="287"/>
    </row>
    <row r="9" spans="1:10" s="129" customFormat="1" ht="19.5">
      <c r="A9" s="284" t="s">
        <v>53</v>
      </c>
      <c r="B9" s="286">
        <f>'ส1_เฉพาะเกณฑ์_สกอ.'!G14</f>
        <v>5</v>
      </c>
      <c r="C9" s="286"/>
      <c r="D9" s="285"/>
      <c r="E9" s="286">
        <f>B9</f>
        <v>5</v>
      </c>
      <c r="F9" s="7" t="str">
        <f>IF(E9&gt;=4.51,"ดีมาก",IF(E9&gt;=3.51,"ดี",IF(E9&gt;=2.51,"พอใช้",IF(E9&gt;=1.51,"ต้องปรับปรุง","ต้องปรับปรุงเร่งด่วน"))))</f>
        <v>ดีมาก</v>
      </c>
      <c r="G9" s="442"/>
      <c r="J9" s="287"/>
    </row>
    <row r="10" spans="1:10" s="129" customFormat="1" ht="26.25" customHeight="1">
      <c r="A10" s="154" t="s">
        <v>71</v>
      </c>
      <c r="B10" s="286">
        <f>AVERAGE('ส1_เฉพาะเกณฑ์_สกอ.'!G9,'ส1_เฉพาะเกณฑ์_สกอ.'!G11)</f>
        <v>5</v>
      </c>
      <c r="C10" s="286"/>
      <c r="D10" s="286">
        <f>AVERAGE('ส1_เฉพาะเกณฑ์_สมศ.'!F11,'ส1_เฉพาะเกณฑ์_สมศ.'!F13,'ส1_เฉพาะเกณฑ์_สมศ.'!F17)</f>
        <v>4.7701149425287355</v>
      </c>
      <c r="E10" s="286">
        <f>AVERAGE('ส1_เฉพาะเกณฑ์_สมศ.'!F11,'ส1_เฉพาะเกณฑ์_สมศ.'!F17,'ส1_เฉพาะเกณฑ์_สกอ.'!G9,'ส1_เฉพาะเกณฑ์_สกอ.'!G11,'ส1_เฉพาะเกณฑ์_สมศ.'!F13)</f>
        <v>4.862068965517241</v>
      </c>
      <c r="F10" s="7" t="str">
        <f>IF(E10&gt;=4.51,"ดีมาก",IF(E10&gt;=3.51,"ดี",IF(E10&gt;=2.51,"พอใช้",IF(E10&gt;=1.51,"ต้องปรับปรุง","ต้องปรับปรุงเร่งด่วน"))))</f>
        <v>ดีมาก</v>
      </c>
      <c r="G10" s="155"/>
      <c r="I10" s="288"/>
      <c r="J10" s="287"/>
    </row>
    <row r="11" spans="1:9" s="129" customFormat="1" ht="26.25" customHeight="1">
      <c r="A11" s="8" t="s">
        <v>54</v>
      </c>
      <c r="B11" s="289">
        <f>AVERAGE('ส1_เฉพาะเกณฑ์_สกอ.'!G9,'ส1_เฉพาะเกณฑ์_สกอ.'!G11,'ส1_เฉพาะเกณฑ์_สกอ.'!G14)</f>
        <v>5</v>
      </c>
      <c r="C11" s="289">
        <f>AVERAGE('ส1_เฉพาะเกณฑ์_สกอ.'!G13,'ส1_เฉพาะเกณฑ์_สกอ.'!G8,'ส1_เฉพาะเกณฑ์_สกอ.'!G16)</f>
        <v>5</v>
      </c>
      <c r="D11" s="289">
        <f>AVERAGE('ส1_เฉพาะเกณฑ์_สมศ.'!F7,'ส1_เฉพาะเกณฑ์_สมศ.'!F9,'ส1_เฉพาะเกณฑ์_สมศ.'!F11,'ส1_เฉพาะเกณฑ์_สมศ.'!F13,'ส1_เฉพาะเกณฑ์_สมศ.'!F17,'ส1_เฉพาะเกณฑ์_สมศ.'!F15)</f>
        <v>4.885057471264368</v>
      </c>
      <c r="E11" s="289">
        <f>AVERAGE('ส1_เฉพาะเกณฑ์_สกอ.'!G8,'ส1_เฉพาะเกณฑ์_สกอ.'!G9,'ส1_เฉพาะเกณฑ์_สกอ.'!G11,'ส1_เฉพาะเกณฑ์_สกอ.'!G13,'ส1_เฉพาะเกณฑ์_สกอ.'!G14,'ส1_เฉพาะเกณฑ์_สกอ.'!G16,'ส1_เฉพาะเกณฑ์_สมศ.'!F7,'ส1_เฉพาะเกณฑ์_สมศ.'!F9,'ส1_เฉพาะเกณฑ์_สมศ.'!F11,'ส1_เฉพาะเกณฑ์_สมศ.'!F13,'ส1_เฉพาะเกณฑ์_สมศ.'!F15,'ส1_เฉพาะเกณฑ์_สมศ.'!F17)</f>
        <v>4.942528735632184</v>
      </c>
      <c r="F11" s="7" t="str">
        <f>IF(E11&gt;=4.51,"ดีมาก",IF(E11&gt;=3.51,"ดี",IF(E11&gt;=2.51,"พอใช้",IF(E11&gt;=1.51,"ต้องปรับปรุง","ต้องปรับปรุงเร่งด่วน"))))</f>
        <v>ดีมาก</v>
      </c>
      <c r="G11" s="155"/>
      <c r="I11" s="288"/>
    </row>
    <row r="12" spans="1:7" s="129" customFormat="1" ht="26.25" customHeight="1">
      <c r="A12" s="290" t="s">
        <v>41</v>
      </c>
      <c r="B12" s="140" t="str">
        <f>IF(B11&gt;=4.51,"ดีมาก",IF(B11&gt;=3.51,"ดี",IF(B11&gt;=2.51,"พอใช้",IF(B11&gt;=1.51,"ต้องปรับปรุง","ปรับปรุงเร่งด่วน"))))</f>
        <v>ดีมาก</v>
      </c>
      <c r="C12" s="140" t="str">
        <f>IF(C11&gt;=4.51,"ดีมาก",IF(C11&gt;=3.51,"ดี",IF(C11&gt;=2.51,"พอใช้",IF(C11&gt;=1.51,"ต้องปรับปรุง","ปรับปรุงเร่งด่วน"))))</f>
        <v>ดีมาก</v>
      </c>
      <c r="D12" s="140" t="str">
        <f>IF(D11&gt;=4.51,"ดีมาก",IF(D11&gt;=3.51,"ดี",IF(D11&gt;=2.51,"พอใช้",IF(D11&gt;=1.51,"ต้องปรับปรุง","ปรับปรุงเร่งด่วน"))))</f>
        <v>ดีมาก</v>
      </c>
      <c r="E12" s="140" t="str">
        <f>IF(E11&gt;=4.51,"ดีมาก",IF(E11&gt;=3.51,"ดี",IF(E11&gt;=2.51,"พอใช้",IF(E11&gt;=1.51,"ต้องปรับปรุง","ปรับปรุงเร่งด่วน"))))</f>
        <v>ดีมาก</v>
      </c>
      <c r="F12" s="155"/>
      <c r="G12" s="155"/>
    </row>
    <row r="13" s="129" customFormat="1" ht="19.5">
      <c r="D13" s="288"/>
    </row>
    <row r="14" spans="3:5" s="129" customFormat="1" ht="19.5">
      <c r="C14" s="288" t="e">
        <f>AVERAGE('ส1_เฉพาะเกณฑ์_สกอ.'!G13,'ส1_เฉพาะเกณฑ์_สกอ.'!#REF!,'ส1_เฉพาะเกณฑ์_สกอ.'!#REF!,'ส1_เฉพาะเกณฑ์_สกอ.'!#REF!,'ส1_เฉพาะเกณฑ์_สกอ.'!#REF!,'ส1_เฉพาะเกณฑ์_สกอ.'!#REF!,'ส1_เฉพาะเกณฑ์_สกอ.'!G8,'ส1_เฉพาะเกณฑ์_สกอ.'!#REF!,'ส1_เฉพาะเกณฑ์_สกอ.'!#REF!,'ส1_เฉพาะเกณฑ์_สกอ.'!#REF!,'ส1_เฉพาะเกณฑ์_สกอ.'!#REF!,'ส1_เฉพาะเกณฑ์_สกอ.'!#REF!,'ส1_เฉพาะเกณฑ์_สกอ.'!#REF!,'ส1_เฉพาะเกณฑ์_สกอ.'!G16,'ส1_เฉพาะเกณฑ์_สกอ.'!#REF!)</f>
        <v>#REF!</v>
      </c>
      <c r="D14" s="288" t="e">
        <f>AVERAGE('ส1_เฉพาะเกณฑ์_สมศ.'!#REF!,'ส1_เฉพาะเกณฑ์_สมศ.'!#REF!,'ส1_เฉพาะเกณฑ์_สมศ.'!F17:F18,'ส1_เฉพาะเกณฑ์_สมศ.'!F7:F16,'ส1_เฉพาะเกณฑ์_สกอ.'!#REF!)</f>
        <v>#REF!</v>
      </c>
      <c r="E14" s="288"/>
    </row>
    <row r="15" s="129" customFormat="1" ht="19.5"/>
    <row r="16" s="129" customFormat="1" ht="19.5"/>
  </sheetData>
  <sheetProtection/>
  <mergeCells count="5">
    <mergeCell ref="A5:A6"/>
    <mergeCell ref="B5:E5"/>
    <mergeCell ref="F5:F6"/>
    <mergeCell ref="G5:G6"/>
    <mergeCell ref="G8:G9"/>
  </mergeCells>
  <printOptions horizontalCentered="1"/>
  <pageMargins left="0.56" right="0.36" top="0.748031496062992" bottom="0.748031496062992" header="0.31496062992126" footer="0.31496062992126"/>
  <pageSetup horizontalDpi="1200" verticalDpi="1200" orientation="portrait" paperSize="9" scale="8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</sheetPr>
  <dimension ref="A1:I20"/>
  <sheetViews>
    <sheetView view="pageBreakPreview" zoomScaleNormal="85" zoomScaleSheetLayoutView="100" zoomScalePageLayoutView="0" workbookViewId="0" topLeftCell="A10">
      <selection activeCell="H20" sqref="H20"/>
    </sheetView>
  </sheetViews>
  <sheetFormatPr defaultColWidth="9.00390625" defaultRowHeight="14.25"/>
  <cols>
    <col min="1" max="1" width="31.50390625" style="118" customWidth="1"/>
    <col min="2" max="5" width="7.75390625" style="118" customWidth="1"/>
    <col min="6" max="6" width="26.125" style="118" customWidth="1"/>
    <col min="7" max="7" width="12.75390625" style="118" customWidth="1"/>
    <col min="8" max="16384" width="9.00390625" style="118" customWidth="1"/>
  </cols>
  <sheetData>
    <row r="1" spans="1:7" ht="21" customHeight="1">
      <c r="A1" s="153" t="s">
        <v>55</v>
      </c>
      <c r="B1" s="147"/>
      <c r="C1" s="147"/>
      <c r="D1" s="147"/>
      <c r="E1" s="147"/>
      <c r="F1" s="147"/>
      <c r="G1" s="147"/>
    </row>
    <row r="2" spans="1:7" ht="21" customHeight="1">
      <c r="A2" s="122" t="s">
        <v>1</v>
      </c>
      <c r="B2" s="147"/>
      <c r="C2" s="147"/>
      <c r="D2" s="147"/>
      <c r="E2" s="147"/>
      <c r="F2" s="147"/>
      <c r="G2" s="147"/>
    </row>
    <row r="3" spans="1:7" ht="21" customHeight="1">
      <c r="A3" s="148" t="s">
        <v>161</v>
      </c>
      <c r="B3" s="147"/>
      <c r="C3" s="147"/>
      <c r="D3" s="147"/>
      <c r="E3" s="147"/>
      <c r="F3" s="147"/>
      <c r="G3" s="147"/>
    </row>
    <row r="4" spans="1:7" ht="6" customHeight="1">
      <c r="A4" s="147"/>
      <c r="B4" s="147"/>
      <c r="C4" s="147"/>
      <c r="D4" s="147"/>
      <c r="E4" s="147"/>
      <c r="F4" s="147"/>
      <c r="G4" s="147"/>
    </row>
    <row r="5" spans="1:7" ht="21.75" customHeight="1">
      <c r="A5" s="440" t="s">
        <v>56</v>
      </c>
      <c r="B5" s="443" t="s">
        <v>29</v>
      </c>
      <c r="C5" s="443"/>
      <c r="D5" s="443"/>
      <c r="E5" s="443"/>
      <c r="F5" s="439" t="s">
        <v>159</v>
      </c>
      <c r="G5" s="443" t="s">
        <v>30</v>
      </c>
    </row>
    <row r="6" spans="1:7" ht="89.25" customHeight="1">
      <c r="A6" s="440"/>
      <c r="B6" s="137" t="s">
        <v>31</v>
      </c>
      <c r="C6" s="137" t="s">
        <v>32</v>
      </c>
      <c r="D6" s="137" t="s">
        <v>33</v>
      </c>
      <c r="E6" s="137" t="s">
        <v>34</v>
      </c>
      <c r="F6" s="439"/>
      <c r="G6" s="443"/>
    </row>
    <row r="7" spans="1:7" ht="21.75" customHeight="1">
      <c r="A7" s="444" t="s">
        <v>57</v>
      </c>
      <c r="B7" s="444"/>
      <c r="C7" s="444"/>
      <c r="D7" s="444"/>
      <c r="E7" s="444"/>
      <c r="F7" s="141"/>
      <c r="G7" s="141"/>
    </row>
    <row r="8" spans="1:7" ht="21.75" customHeight="1">
      <c r="A8" s="154" t="s">
        <v>58</v>
      </c>
      <c r="B8" s="6"/>
      <c r="C8" s="151"/>
      <c r="D8" s="151"/>
      <c r="E8" s="6"/>
      <c r="F8" s="155" t="s">
        <v>195</v>
      </c>
      <c r="G8" s="141"/>
    </row>
    <row r="9" spans="1:7" ht="21.75" customHeight="1">
      <c r="A9" s="154" t="s">
        <v>59</v>
      </c>
      <c r="B9" s="6">
        <f>AVERAGE('ส1_เฉพาะเกณฑ์_สกอ.'!G9,'ส1_เฉพาะเกณฑ์_สกอ.'!G11)</f>
        <v>5</v>
      </c>
      <c r="C9" s="6">
        <f>'ส1_เฉพาะเกณฑ์_สกอ.'!G13</f>
        <v>5</v>
      </c>
      <c r="D9" s="6">
        <f>'ส1_เฉพาะเกณฑ์_สมศ.'!F17</f>
        <v>5</v>
      </c>
      <c r="E9" s="6">
        <f>AVERAGE('ส1_เฉพาะเกณฑ์_สกอ.'!G9,'ส1_เฉพาะเกณฑ์_สกอ.'!G11,'ส1_เฉพาะเกณฑ์_สกอ.'!G13,'ส1_เฉพาะเกณฑ์_สมศ.'!F17)</f>
        <v>5</v>
      </c>
      <c r="F9" s="155" t="str">
        <f>IF(E9&gt;=4.51,"ดีมาก",IF(E9&gt;=3.51,"ดี",IF(E9&gt;=2.51,"พอใช้",IF(E9&gt;=1.51,"ต้องปรับปรุง","ต้องปรับปรุงเร่งด่วน"))))</f>
        <v>ดีมาก</v>
      </c>
      <c r="G9" s="141"/>
    </row>
    <row r="10" spans="1:7" ht="21.75" customHeight="1">
      <c r="A10" s="154" t="s">
        <v>60</v>
      </c>
      <c r="B10" s="151"/>
      <c r="C10" s="179"/>
      <c r="D10" s="151"/>
      <c r="E10" s="6"/>
      <c r="F10" s="155" t="s">
        <v>195</v>
      </c>
      <c r="G10" s="141"/>
    </row>
    <row r="11" spans="1:7" ht="46.5">
      <c r="A11" s="156" t="s">
        <v>61</v>
      </c>
      <c r="B11" s="151"/>
      <c r="C11" s="152">
        <f>AVERAGE('ส1_เฉพาะเกณฑ์_สกอ.'!G8,'ส1_เฉพาะเกณฑ์_สกอ.'!G16)</f>
        <v>5</v>
      </c>
      <c r="D11" s="152"/>
      <c r="E11" s="152">
        <f>C11</f>
        <v>5</v>
      </c>
      <c r="F11" s="157" t="str">
        <f>IF(E11&gt;=4.51,"ดีมาก",IF(E11&gt;=3.51,"ดี",IF(E11&gt;=2.51,"พอใช้",IF(E11&gt;=1.51,"ต้องปรับปรุง","ต้องปรับปรุงเร่งด่วน"))))</f>
        <v>ดีมาก</v>
      </c>
      <c r="G11" s="436" t="s">
        <v>160</v>
      </c>
    </row>
    <row r="12" spans="1:9" ht="46.5">
      <c r="A12" s="7" t="s">
        <v>62</v>
      </c>
      <c r="B12" s="6">
        <f>B9</f>
        <v>5</v>
      </c>
      <c r="C12" s="6">
        <f>AVERAGE('ส1_เฉพาะเกณฑ์_สกอ.'!G8,'ส1_เฉพาะเกณฑ์_สกอ.'!G13,'ส1_เฉพาะเกณฑ์_สกอ.'!G16)</f>
        <v>5</v>
      </c>
      <c r="D12" s="6">
        <f>D9</f>
        <v>5</v>
      </c>
      <c r="E12" s="6">
        <f>AVERAGE('ส1_เฉพาะเกณฑ์_สกอ.'!G8,'ส1_เฉพาะเกณฑ์_สกอ.'!G9,'ส1_เฉพาะเกณฑ์_สกอ.'!G11,'ส1_เฉพาะเกณฑ์_สกอ.'!G13,'ส1_เฉพาะเกณฑ์_สกอ.'!G16,'ส1_เฉพาะเกณฑ์_สมศ.'!F17)</f>
        <v>5</v>
      </c>
      <c r="F12" s="155" t="str">
        <f>IF(E12&gt;=4.51,"ดีมาก",IF(E12&gt;=3.51,"ดี",IF(E12&gt;=2.51,"พอใช้",IF(E12&gt;=1.51,"ต้องปรับปรุง","ต้องปรับปรุงเร่งด่วน"))))</f>
        <v>ดีมาก</v>
      </c>
      <c r="G12" s="437"/>
      <c r="I12" s="119"/>
    </row>
    <row r="13" spans="1:7" ht="21" customHeight="1">
      <c r="A13" s="444" t="s">
        <v>63</v>
      </c>
      <c r="B13" s="444"/>
      <c r="C13" s="444"/>
      <c r="D13" s="444"/>
      <c r="E13" s="444"/>
      <c r="F13" s="444"/>
      <c r="G13" s="158"/>
    </row>
    <row r="14" spans="1:7" ht="21" customHeight="1">
      <c r="A14" s="154" t="s">
        <v>64</v>
      </c>
      <c r="B14" s="151"/>
      <c r="C14" s="6"/>
      <c r="D14" s="6">
        <f>AVERAGE('ส1_เฉพาะเกณฑ์_สมศ.'!F7,'ส1_เฉพาะเกณฑ์_สมศ.'!F9)</f>
        <v>5</v>
      </c>
      <c r="E14" s="6">
        <f>D14</f>
        <v>5</v>
      </c>
      <c r="F14" s="155" t="str">
        <f aca="true" t="shared" si="0" ref="F14:F19">IF(E14&gt;=4.51,"ดีมาก",IF(E14&gt;=3.51,"ดี",IF(E14&gt;=2.51,"พอใช้",IF(E14&gt;=1.51,"ต้องปรับปรุง","ต้องปรับปรุงเร่งด่วน"))))</f>
        <v>ดีมาก</v>
      </c>
      <c r="G14" s="158"/>
    </row>
    <row r="15" spans="1:7" ht="21" customHeight="1">
      <c r="A15" s="154" t="s">
        <v>65</v>
      </c>
      <c r="B15" s="6">
        <f>'ส1_เฉพาะเกณฑ์_สกอ.'!G14</f>
        <v>5</v>
      </c>
      <c r="C15" s="6"/>
      <c r="D15" s="6">
        <f>AVERAGE('ส1_เฉพาะเกณฑ์_สมศ.'!F11,'ส1_เฉพาะเกณฑ์_สมศ.'!F13)</f>
        <v>4.655172413793103</v>
      </c>
      <c r="E15" s="6">
        <f>AVERAGE('ส1_เฉพาะเกณฑ์_สมศ.'!F11,'ส1_เฉพาะเกณฑ์_สมศ.'!F13,'ส1_เฉพาะเกณฑ์_สกอ.'!G14)</f>
        <v>4.7701149425287355</v>
      </c>
      <c r="F15" s="155" t="str">
        <f t="shared" si="0"/>
        <v>ดีมาก</v>
      </c>
      <c r="G15" s="158"/>
    </row>
    <row r="16" spans="1:7" ht="21" customHeight="1">
      <c r="A16" s="154" t="s">
        <v>66</v>
      </c>
      <c r="B16" s="151"/>
      <c r="C16" s="6"/>
      <c r="D16" s="6">
        <f>'ส1_เฉพาะเกณฑ์_สมศ.'!F15</f>
        <v>5</v>
      </c>
      <c r="E16" s="6">
        <f>D16</f>
        <v>5</v>
      </c>
      <c r="F16" s="155" t="str">
        <f t="shared" si="0"/>
        <v>ดีมาก</v>
      </c>
      <c r="G16" s="158"/>
    </row>
    <row r="17" spans="1:7" ht="21" customHeight="1">
      <c r="A17" s="154" t="s">
        <v>67</v>
      </c>
      <c r="B17" s="151"/>
      <c r="C17" s="6"/>
      <c r="D17" s="168"/>
      <c r="E17" s="6"/>
      <c r="F17" s="155" t="s">
        <v>195</v>
      </c>
      <c r="G17" s="158"/>
    </row>
    <row r="18" spans="1:7" ht="21" customHeight="1">
      <c r="A18" s="7" t="s">
        <v>68</v>
      </c>
      <c r="B18" s="6">
        <f>B15</f>
        <v>5</v>
      </c>
      <c r="C18" s="6"/>
      <c r="D18" s="6">
        <f>AVERAGE('ส1_เฉพาะเกณฑ์_สมศ.'!F7,'ส1_เฉพาะเกณฑ์_สมศ.'!F9,'ส1_เฉพาะเกณฑ์_สมศ.'!F11,'ส1_เฉพาะเกณฑ์_สมศ.'!F13,'ส1_เฉพาะเกณฑ์_สมศ.'!F15)</f>
        <v>4.862068965517241</v>
      </c>
      <c r="E18" s="6">
        <f>AVERAGE('ส1_เฉพาะเกณฑ์_สมศ.'!F7,'ส1_เฉพาะเกณฑ์_สมศ.'!F9,'ส1_เฉพาะเกณฑ์_สมศ.'!F11,'ส1_เฉพาะเกณฑ์_สมศ.'!F13,'ส1_เฉพาะเกณฑ์_สมศ.'!F15,'ส1_เฉพาะเกณฑ์_สกอ.'!G14)</f>
        <v>4.885057471264368</v>
      </c>
      <c r="F18" s="155" t="str">
        <f t="shared" si="0"/>
        <v>ดีมาก</v>
      </c>
      <c r="G18" s="158"/>
    </row>
    <row r="19" spans="1:7" ht="21" customHeight="1">
      <c r="A19" s="8" t="s">
        <v>69</v>
      </c>
      <c r="B19" s="9">
        <f>AVERAGE('ส1_เฉพาะเกณฑ์_สกอ.'!G9,'ส1_เฉพาะเกณฑ์_สกอ.'!G11,'ส1_เฉพาะเกณฑ์_สกอ.'!G14)</f>
        <v>5</v>
      </c>
      <c r="C19" s="9">
        <f>AVERAGE('ส1_เฉพาะเกณฑ์_สกอ.'!G8,'ส1_เฉพาะเกณฑ์_สกอ.'!G13,'ส1_เฉพาะเกณฑ์_สกอ.'!G16)</f>
        <v>5</v>
      </c>
      <c r="D19" s="9">
        <f>AVERAGE('ส1_เฉพาะเกณฑ์_สมศ.'!F7,'ส1_เฉพาะเกณฑ์_สมศ.'!F9,'ส1_เฉพาะเกณฑ์_สมศ.'!F11,'ส1_เฉพาะเกณฑ์_สมศ.'!F13,'ส1_เฉพาะเกณฑ์_สมศ.'!F15,'ส1_เฉพาะเกณฑ์_สมศ.'!F17)</f>
        <v>4.885057471264368</v>
      </c>
      <c r="E19" s="9">
        <f>AVERAGE('ส1_เฉพาะเกณฑ์_สมศ.'!F7,'ส1_เฉพาะเกณฑ์_สมศ.'!F9,'ส1_เฉพาะเกณฑ์_สมศ.'!F11,'ส1_เฉพาะเกณฑ์_สมศ.'!F13,'ส1_เฉพาะเกณฑ์_สมศ.'!F15,'ส1_เฉพาะเกณฑ์_สมศ.'!F17,'ส1_เฉพาะเกณฑ์_สกอ.'!G8,'ส1_เฉพาะเกณฑ์_สกอ.'!G9,'ส1_เฉพาะเกณฑ์_สกอ.'!G11,'ส1_เฉพาะเกณฑ์_สกอ.'!G13,'ส1_เฉพาะเกณฑ์_สกอ.'!G14,'ส1_เฉพาะเกณฑ์_สกอ.'!G16)</f>
        <v>4.942528735632184</v>
      </c>
      <c r="F19" s="155" t="str">
        <f t="shared" si="0"/>
        <v>ดีมาก</v>
      </c>
      <c r="G19" s="158"/>
    </row>
    <row r="20" spans="1:7" ht="21" customHeight="1">
      <c r="A20" s="8" t="s">
        <v>41</v>
      </c>
      <c r="B20" s="140" t="str">
        <f>IF(B19&gt;=4.51,"ดีมาก",IF(B19&gt;=3.51,"ดี",IF(B19&gt;=2.51,"พอใช้",IF(B19&gt;=1.51,"ต้องปรับปรุง","ปรับปรุงเร่งด่วน"))))</f>
        <v>ดีมาก</v>
      </c>
      <c r="C20" s="140" t="str">
        <f>IF(C19&gt;=4.51,"ดีมาก",IF(C19&gt;=3.51,"ดี",IF(C19&gt;=2.51,"พอใช้",IF(C19&gt;=1.51,"ต้องปรับปรุง","ปรับปรุงเร่งด่วน"))))</f>
        <v>ดีมาก</v>
      </c>
      <c r="D20" s="140" t="str">
        <f>IF(D19&gt;=4.51,"ดีมาก",IF(D19&gt;=3.51,"ดี",IF(D19&gt;=2.51,"พอใช้",IF(D19&gt;=1.51,"ต้องปรับปรุง","ปรับปรุงเร่งด่วน"))))</f>
        <v>ดีมาก</v>
      </c>
      <c r="E20" s="140" t="str">
        <f>IF(E19&gt;=4.51,"ดีมาก",IF(E19&gt;=3.51,"ดี",IF(E19&gt;=2.51,"พอใช้",IF(E19&gt;=1.51,"ต้องปรับปรุง","ปรับปรุงเร่งด่วน"))))</f>
        <v>ดีมาก</v>
      </c>
      <c r="F20" s="155"/>
      <c r="G20" s="158"/>
    </row>
  </sheetData>
  <sheetProtection/>
  <mergeCells count="7">
    <mergeCell ref="G5:G6"/>
    <mergeCell ref="A7:E7"/>
    <mergeCell ref="A13:F13"/>
    <mergeCell ref="A5:A6"/>
    <mergeCell ref="B5:E5"/>
    <mergeCell ref="F5:F6"/>
    <mergeCell ref="G11:G12"/>
  </mergeCells>
  <printOptions horizontalCentered="1"/>
  <pageMargins left="0.62" right="0.37" top="0.748031496062992" bottom="0.748031496062992" header="0.31496062992126" footer="0.31496062992126"/>
  <pageSetup horizontalDpi="1200" verticalDpi="12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Pharmacy</cp:lastModifiedBy>
  <cp:lastPrinted>2013-02-28T08:19:32Z</cp:lastPrinted>
  <dcterms:created xsi:type="dcterms:W3CDTF">2011-06-30T13:19:18Z</dcterms:created>
  <dcterms:modified xsi:type="dcterms:W3CDTF">2014-02-21T03:11:52Z</dcterms:modified>
  <cp:category/>
  <cp:version/>
  <cp:contentType/>
  <cp:contentStatus/>
</cp:coreProperties>
</file>